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7" activeTab="1"/>
  </bookViews>
  <sheets>
    <sheet name="Maršruta karte" sheetId="1" r:id="rId1"/>
    <sheet name="Palags" sheetId="2" r:id="rId2"/>
    <sheet name="starta saraksts" sheetId="3" r:id="rId3"/>
  </sheets>
  <definedNames/>
  <calcPr fullCalcOnLoad="1"/>
</workbook>
</file>

<file path=xl/sharedStrings.xml><?xml version="1.0" encoding="utf-8"?>
<sst xmlns="http://schemas.openxmlformats.org/spreadsheetml/2006/main" count="170" uniqueCount="128">
  <si>
    <t>Veterānu rallijs "ĶEKAVA 2012"</t>
  </si>
  <si>
    <t xml:space="preserve"> Sestdiena, 28.jūnijs 2012.g.</t>
  </si>
  <si>
    <t>LK</t>
  </si>
  <si>
    <t>VIETAS NOSAUKUMS</t>
  </si>
  <si>
    <t>PS  km</t>
  </si>
  <si>
    <t>Pārbrauciens</t>
  </si>
  <si>
    <t>Kopā</t>
  </si>
  <si>
    <t>Laika norma</t>
  </si>
  <si>
    <t>Neitralizācijas laiks</t>
  </si>
  <si>
    <t>Piezīmes</t>
  </si>
  <si>
    <t>1a/m laiks</t>
  </si>
  <si>
    <t>Start - Mundri 1</t>
  </si>
  <si>
    <t>Tilts 1</t>
  </si>
  <si>
    <t>-</t>
  </si>
  <si>
    <t>PS/RS 1</t>
  </si>
  <si>
    <t>ĶEKAVIŅA 1</t>
  </si>
  <si>
    <t>RS 1       Vidējais ātrums 50km/h</t>
  </si>
  <si>
    <t>Dole 1</t>
  </si>
  <si>
    <t>19,06</t>
  </si>
  <si>
    <t>RS 2</t>
  </si>
  <si>
    <t>RS2        Vidējais ātrums 38km/h</t>
  </si>
  <si>
    <t>Dole 2</t>
  </si>
  <si>
    <t>Tilts 2</t>
  </si>
  <si>
    <t>PS/RS 3</t>
  </si>
  <si>
    <t xml:space="preserve"> ĶEKAVIŅA 2</t>
  </si>
  <si>
    <t>RS3        Vidējais ātrums 55km/h</t>
  </si>
  <si>
    <t>Mundri 2</t>
  </si>
  <si>
    <t>FINIŠS</t>
  </si>
  <si>
    <t>PS 1 un PS 3 starta laiki ir nākošā posma starta laiki un RS starta laiki</t>
  </si>
  <si>
    <t>RS 2 starta laiks nākošā posma starta laiks.</t>
  </si>
  <si>
    <t>Sods par kavājumu uz LK - 1min.=10sek.</t>
  </si>
  <si>
    <t>Sods par apsteidzi uz LK - 1min.=60 sek.</t>
  </si>
  <si>
    <r>
      <t xml:space="preserve">Trases kontrolmērījumi   uz šosejas A5 (apvedceļš Jūrmalas virzienā no leģendas orientiera NR.5 ;3 lapā -Jūrmalas virziens- pa labi)  starp kilometru stabiem 13 un 16 ir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 km.</t>
    </r>
  </si>
  <si>
    <t>vid.ātr.</t>
  </si>
  <si>
    <t>Km.</t>
  </si>
  <si>
    <t>laiks/m</t>
  </si>
  <si>
    <t>laiks/s</t>
  </si>
  <si>
    <t>Autorallijs "Ķekava 2014"     Ķekava  28.06.2014</t>
  </si>
  <si>
    <t>Ek. Nr.</t>
  </si>
  <si>
    <t>Vārds, uzvārds</t>
  </si>
  <si>
    <t>Automašīna</t>
  </si>
  <si>
    <t>A/m piedziņa</t>
  </si>
  <si>
    <t>LK-0 Sods</t>
  </si>
  <si>
    <t>LK-1 Sods</t>
  </si>
  <si>
    <t>PS-1 Rezultāts</t>
  </si>
  <si>
    <t>RS1 Starts</t>
  </si>
  <si>
    <t>RS St.fin.1</t>
  </si>
  <si>
    <t>RS St1 REZ</t>
  </si>
  <si>
    <t>LK-2 Sods</t>
  </si>
  <si>
    <t>RS2      Starts</t>
  </si>
  <si>
    <t>RS2 St.fin.1</t>
  </si>
  <si>
    <t>RS St2 REZ1</t>
  </si>
  <si>
    <t>RS2 St.fin.2</t>
  </si>
  <si>
    <t>RS St2 REZ2</t>
  </si>
  <si>
    <t>RS2 St.fin.3</t>
  </si>
  <si>
    <t>RS St2 REZ3</t>
  </si>
  <si>
    <t>RS2 St.fin.4</t>
  </si>
  <si>
    <t>RS St2 REZ4</t>
  </si>
  <si>
    <t>RS2 St.fin.5</t>
  </si>
  <si>
    <t>RS St2 REZ5</t>
  </si>
  <si>
    <t>LK-3 Sods</t>
  </si>
  <si>
    <t>LK-4 Sods</t>
  </si>
  <si>
    <t>PS-2 Rezultāts</t>
  </si>
  <si>
    <t>RS3      Starts</t>
  </si>
  <si>
    <t>RS3 St.fin.1</t>
  </si>
  <si>
    <t>RS St3 REZ1</t>
  </si>
  <si>
    <t>RS3 St.fin.2</t>
  </si>
  <si>
    <t>RS St3 REZ2</t>
  </si>
  <si>
    <t>LK-5 Sods</t>
  </si>
  <si>
    <t>PS kopā</t>
  </si>
  <si>
    <t>LK  Sodi</t>
  </si>
  <si>
    <t>Dist. Sodi</t>
  </si>
  <si>
    <t>Rezult.</t>
  </si>
  <si>
    <t>Punkti</t>
  </si>
  <si>
    <t>Vieta klasē</t>
  </si>
  <si>
    <t>Izst.</t>
  </si>
  <si>
    <t>Autorallijs "Veterāns 2014"    Ķekava 28.06.2014</t>
  </si>
  <si>
    <t>Starta saraksts  uz LK0</t>
  </si>
  <si>
    <t>Starta Nr.</t>
  </si>
  <si>
    <t>Ekipāža</t>
  </si>
  <si>
    <t>Klase</t>
  </si>
  <si>
    <t>Starta laiks</t>
  </si>
  <si>
    <t>Gunārs Gutlands / Ēriks Paculis</t>
  </si>
  <si>
    <t>Golf 4</t>
  </si>
  <si>
    <t>2WD</t>
  </si>
  <si>
    <t>Ēriks Melbārzdis/Vilnis Melbārzdis</t>
  </si>
  <si>
    <t>Toyota Corolla</t>
  </si>
  <si>
    <t>Voldemārs Laduss/Juris Zjabrikovs</t>
  </si>
  <si>
    <t>Renault</t>
  </si>
  <si>
    <t>Ivars Erdmanis/Aivars Erdmanis</t>
  </si>
  <si>
    <t>Ford Focuss</t>
  </si>
  <si>
    <t>Agris Staņevičs / Aivars Velme</t>
  </si>
  <si>
    <t>VAZ2103</t>
  </si>
  <si>
    <t>Nikolajs Krasņikovs/Edmunds Krasņikovs</t>
  </si>
  <si>
    <t>Audi</t>
  </si>
  <si>
    <t>4WD</t>
  </si>
  <si>
    <t>Kārlis Goldmanis/Harijs Goldmanis</t>
  </si>
  <si>
    <t>VAZ2101</t>
  </si>
  <si>
    <t>Dainis Ģēģers / Kārlis Ošs</t>
  </si>
  <si>
    <t>Honda Civick</t>
  </si>
  <si>
    <t>Jānis Vilks/ Ralfs Piziks</t>
  </si>
  <si>
    <t xml:space="preserve">Opel astra </t>
  </si>
  <si>
    <t>Modris Svilis /Tālis Aldiņš</t>
  </si>
  <si>
    <t>Mitsubishi EVO8</t>
  </si>
  <si>
    <t>Artūrs Deikovskis/Andris Lipša</t>
  </si>
  <si>
    <t>Audi 80</t>
  </si>
  <si>
    <t>Vents Trapāns/Juris Dambis</t>
  </si>
  <si>
    <t>VW Passat</t>
  </si>
  <si>
    <t>Valters Rudzītis/ Ervīns Lembergs</t>
  </si>
  <si>
    <t>BMW 316</t>
  </si>
  <si>
    <t>Andris Kalniņš/Valts Veits</t>
  </si>
  <si>
    <t>VW Golf</t>
  </si>
  <si>
    <t>Autorallijs "Veterāns 2012"    Ķekava 28.07.2012</t>
  </si>
  <si>
    <t>SUBARU</t>
  </si>
  <si>
    <t>Artūrs Deikovskis / Andris Lipša</t>
  </si>
  <si>
    <t>AUDI 80</t>
  </si>
  <si>
    <t>Dainis Ģēģers / Tālis Aldiņš</t>
  </si>
  <si>
    <t>SAAB 9-5</t>
  </si>
  <si>
    <t>Aldis Rudzītis / Vents Trapāns</t>
  </si>
  <si>
    <t>VOLVO 940</t>
  </si>
  <si>
    <t>Gunārs Gutlands / Edgars Poriņš</t>
  </si>
  <si>
    <t>VW GOLF</t>
  </si>
  <si>
    <t>Valdis Vilks / Didzis Kalnietis</t>
  </si>
  <si>
    <t>KIA OPTIMA</t>
  </si>
  <si>
    <t>Alvis Ločmelis / Ralfs Piziks</t>
  </si>
  <si>
    <t>Ainārs Eikerts / Arvīds Klapkalns</t>
  </si>
  <si>
    <t>Andris Fridrihsons / Norberts Mančinskis</t>
  </si>
  <si>
    <t>SUBARU LEGACY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</si>
</sst>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H:MM"/>
    <numFmt numFmtId="167" formatCode="@"/>
    <numFmt numFmtId="168" formatCode="GENERAL"/>
    <numFmt numFmtId="169" formatCode="\(0.00\)"/>
    <numFmt numFmtId="170" formatCode="0.0"/>
    <numFmt numFmtId="171" formatCode="0"/>
    <numFmt numFmtId="172" formatCode="H:MM:SS"/>
    <numFmt numFmtId="173" formatCode="MM:SS"/>
    <numFmt numFmtId="174" formatCode="[H]:MM:SS.0"/>
    <numFmt numFmtId="175" formatCode="H:MM:SS.0"/>
    <numFmt numFmtId="176" formatCode="MM:SS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b/>
      <i/>
      <sz val="12"/>
      <color indexed="9"/>
      <name val="Arial Narrow"/>
      <family val="2"/>
    </font>
    <font>
      <b/>
      <i/>
      <sz val="10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2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20" borderId="10" xfId="0" applyFill="1" applyBorder="1" applyAlignment="1">
      <alignment/>
    </xf>
    <xf numFmtId="164" fontId="19" fillId="20" borderId="11" xfId="0" applyFont="1" applyFill="1" applyBorder="1" applyAlignment="1">
      <alignment horizontal="left"/>
    </xf>
    <xf numFmtId="164" fontId="20" fillId="20" borderId="11" xfId="0" applyFont="1" applyFill="1" applyBorder="1" applyAlignment="1">
      <alignment horizontal="left"/>
    </xf>
    <xf numFmtId="165" fontId="20" fillId="20" borderId="11" xfId="0" applyNumberFormat="1" applyFont="1" applyFill="1" applyBorder="1" applyAlignment="1">
      <alignment horizontal="center"/>
    </xf>
    <xf numFmtId="164" fontId="0" fillId="20" borderId="11" xfId="0" applyFill="1" applyBorder="1" applyAlignment="1">
      <alignment/>
    </xf>
    <xf numFmtId="165" fontId="19" fillId="20" borderId="12" xfId="0" applyNumberFormat="1" applyFont="1" applyFill="1" applyBorder="1" applyAlignment="1">
      <alignment horizontal="right"/>
    </xf>
    <xf numFmtId="164" fontId="21" fillId="0" borderId="0" xfId="0" applyFont="1" applyAlignment="1">
      <alignment/>
    </xf>
    <xf numFmtId="164" fontId="0" fillId="0" borderId="13" xfId="0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0" xfId="0" applyFont="1" applyAlignment="1">
      <alignment/>
    </xf>
    <xf numFmtId="164" fontId="22" fillId="0" borderId="15" xfId="0" applyFont="1" applyBorder="1" applyAlignment="1">
      <alignment horizontal="center" vertical="center"/>
    </xf>
    <xf numFmtId="164" fontId="22" fillId="0" borderId="16" xfId="0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top" wrapText="1"/>
    </xf>
    <xf numFmtId="164" fontId="22" fillId="0" borderId="17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/>
    </xf>
    <xf numFmtId="164" fontId="20" fillId="0" borderId="19" xfId="0" applyFont="1" applyBorder="1" applyAlignment="1">
      <alignment horizontal="left"/>
    </xf>
    <xf numFmtId="165" fontId="20" fillId="0" borderId="19" xfId="0" applyNumberFormat="1" applyFont="1" applyBorder="1" applyAlignment="1">
      <alignment horizontal="center"/>
    </xf>
    <xf numFmtId="165" fontId="22" fillId="0" borderId="19" xfId="0" applyNumberFormat="1" applyFont="1" applyBorder="1" applyAlignment="1">
      <alignment horizontal="left" vertical="center"/>
    </xf>
    <xf numFmtId="166" fontId="23" fillId="0" borderId="20" xfId="0" applyNumberFormat="1" applyFont="1" applyBorder="1" applyAlignment="1">
      <alignment horizontal="left" vertical="center"/>
    </xf>
    <xf numFmtId="164" fontId="0" fillId="24" borderId="13" xfId="0" applyFill="1" applyBorder="1" applyAlignment="1">
      <alignment/>
    </xf>
    <xf numFmtId="164" fontId="20" fillId="24" borderId="21" xfId="0" applyFont="1" applyFill="1" applyBorder="1" applyAlignment="1">
      <alignment horizontal="center"/>
    </xf>
    <xf numFmtId="164" fontId="20" fillId="24" borderId="22" xfId="0" applyFont="1" applyFill="1" applyBorder="1" applyAlignment="1">
      <alignment horizontal="left"/>
    </xf>
    <xf numFmtId="167" fontId="20" fillId="24" borderId="22" xfId="0" applyNumberFormat="1" applyFont="1" applyFill="1" applyBorder="1" applyAlignment="1">
      <alignment horizontal="center"/>
    </xf>
    <xf numFmtId="165" fontId="20" fillId="24" borderId="22" xfId="0" applyNumberFormat="1" applyFont="1" applyFill="1" applyBorder="1" applyAlignment="1">
      <alignment horizontal="center"/>
    </xf>
    <xf numFmtId="166" fontId="20" fillId="24" borderId="22" xfId="0" applyNumberFormat="1" applyFont="1" applyFill="1" applyBorder="1" applyAlignment="1">
      <alignment horizontal="center"/>
    </xf>
    <xf numFmtId="166" fontId="22" fillId="24" borderId="22" xfId="0" applyNumberFormat="1" applyFont="1" applyFill="1" applyBorder="1" applyAlignment="1">
      <alignment horizontal="left" vertical="center"/>
    </xf>
    <xf numFmtId="166" fontId="22" fillId="24" borderId="23" xfId="0" applyNumberFormat="1" applyFont="1" applyFill="1" applyBorder="1" applyAlignment="1">
      <alignment horizontal="left" vertical="center"/>
    </xf>
    <xf numFmtId="164" fontId="20" fillId="24" borderId="14" xfId="0" applyFont="1" applyFill="1" applyBorder="1" applyAlignment="1">
      <alignment horizontal="center"/>
    </xf>
    <xf numFmtId="164" fontId="0" fillId="0" borderId="0" xfId="0" applyAlignment="1">
      <alignment/>
    </xf>
    <xf numFmtId="164" fontId="20" fillId="0" borderId="24" xfId="0" applyFont="1" applyBorder="1" applyAlignment="1">
      <alignment horizontal="center"/>
    </xf>
    <xf numFmtId="164" fontId="24" fillId="0" borderId="25" xfId="0" applyFont="1" applyBorder="1" applyAlignment="1">
      <alignment horizontal="left"/>
    </xf>
    <xf numFmtId="165" fontId="19" fillId="0" borderId="2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6" fontId="25" fillId="0" borderId="25" xfId="0" applyNumberFormat="1" applyFont="1" applyFill="1" applyBorder="1" applyAlignment="1">
      <alignment horizontal="center"/>
    </xf>
    <xf numFmtId="166" fontId="26" fillId="0" borderId="25" xfId="0" applyNumberFormat="1" applyFont="1" applyFill="1" applyBorder="1" applyAlignment="1">
      <alignment horizontal="left" vertical="center"/>
    </xf>
    <xf numFmtId="166" fontId="23" fillId="0" borderId="26" xfId="0" applyNumberFormat="1" applyFont="1" applyBorder="1" applyAlignment="1">
      <alignment horizontal="left" vertical="center"/>
    </xf>
    <xf numFmtId="166" fontId="25" fillId="0" borderId="2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20" fillId="0" borderId="25" xfId="0" applyFont="1" applyBorder="1" applyAlignment="1">
      <alignment horizontal="left"/>
    </xf>
    <xf numFmtId="165" fontId="20" fillId="0" borderId="25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4" fontId="0" fillId="0" borderId="0" xfId="0" applyFill="1" applyBorder="1" applyAlignment="1">
      <alignment/>
    </xf>
    <xf numFmtId="166" fontId="20" fillId="0" borderId="25" xfId="0" applyNumberFormat="1" applyFont="1" applyFill="1" applyBorder="1" applyAlignment="1">
      <alignment horizontal="center"/>
    </xf>
    <xf numFmtId="166" fontId="22" fillId="0" borderId="25" xfId="0" applyNumberFormat="1" applyFont="1" applyFill="1" applyBorder="1" applyAlignment="1">
      <alignment horizontal="left" vertical="center"/>
    </xf>
    <xf numFmtId="166" fontId="22" fillId="0" borderId="26" xfId="0" applyNumberFormat="1" applyFont="1" applyBorder="1" applyAlignment="1">
      <alignment horizontal="left" vertical="center"/>
    </xf>
    <xf numFmtId="165" fontId="0" fillId="0" borderId="0" xfId="0" applyNumberFormat="1" applyAlignment="1">
      <alignment/>
    </xf>
    <xf numFmtId="164" fontId="20" fillId="0" borderId="27" xfId="0" applyFont="1" applyBorder="1" applyAlignment="1">
      <alignment horizontal="center"/>
    </xf>
    <xf numFmtId="166" fontId="27" fillId="0" borderId="25" xfId="0" applyNumberFormat="1" applyFont="1" applyFill="1" applyBorder="1" applyAlignment="1">
      <alignment horizontal="center"/>
    </xf>
    <xf numFmtId="166" fontId="28" fillId="0" borderId="25" xfId="0" applyNumberFormat="1" applyFont="1" applyFill="1" applyBorder="1" applyAlignment="1">
      <alignment horizontal="left" vertical="center"/>
    </xf>
    <xf numFmtId="164" fontId="20" fillId="0" borderId="27" xfId="0" applyFont="1" applyFill="1" applyBorder="1" applyAlignment="1">
      <alignment horizontal="center"/>
    </xf>
    <xf numFmtId="164" fontId="20" fillId="0" borderId="28" xfId="0" applyFont="1" applyBorder="1" applyAlignment="1">
      <alignment horizontal="left"/>
    </xf>
    <xf numFmtId="164" fontId="0" fillId="0" borderId="28" xfId="0" applyBorder="1" applyAlignment="1">
      <alignment/>
    </xf>
    <xf numFmtId="164" fontId="0" fillId="0" borderId="14" xfId="0" applyBorder="1" applyAlignment="1">
      <alignment/>
    </xf>
    <xf numFmtId="164" fontId="0" fillId="0" borderId="29" xfId="0" applyBorder="1" applyAlignment="1">
      <alignment/>
    </xf>
    <xf numFmtId="164" fontId="0" fillId="8" borderId="18" xfId="0" applyFill="1" applyBorder="1" applyAlignment="1">
      <alignment/>
    </xf>
    <xf numFmtId="164" fontId="19" fillId="8" borderId="19" xfId="0" applyFont="1" applyFill="1" applyBorder="1" applyAlignment="1">
      <alignment horizontal="left"/>
    </xf>
    <xf numFmtId="169" fontId="19" fillId="8" borderId="19" xfId="0" applyNumberFormat="1" applyFont="1" applyFill="1" applyBorder="1" applyAlignment="1">
      <alignment horizontal="center"/>
    </xf>
    <xf numFmtId="165" fontId="19" fillId="8" borderId="19" xfId="0" applyNumberFormat="1" applyFont="1" applyFill="1" applyBorder="1" applyAlignment="1">
      <alignment horizontal="center"/>
    </xf>
    <xf numFmtId="170" fontId="19" fillId="8" borderId="19" xfId="0" applyNumberFormat="1" applyFont="1" applyFill="1" applyBorder="1" applyAlignment="1">
      <alignment horizontal="center"/>
    </xf>
    <xf numFmtId="166" fontId="19" fillId="8" borderId="19" xfId="0" applyNumberFormat="1" applyFont="1" applyFill="1" applyBorder="1" applyAlignment="1">
      <alignment horizontal="center"/>
    </xf>
    <xf numFmtId="164" fontId="0" fillId="8" borderId="20" xfId="0" applyFill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18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7" fontId="29" fillId="0" borderId="32" xfId="56" applyNumberFormat="1" applyFont="1" applyBorder="1" applyAlignment="1">
      <alignment horizontal="center" vertical="center" wrapText="1"/>
      <protection/>
    </xf>
    <xf numFmtId="164" fontId="0" fillId="0" borderId="0" xfId="56">
      <alignment/>
      <protection/>
    </xf>
    <xf numFmtId="164" fontId="0" fillId="24" borderId="0" xfId="0" applyFill="1" applyAlignment="1">
      <alignment/>
    </xf>
    <xf numFmtId="164" fontId="31" fillId="24" borderId="0" xfId="0" applyFont="1" applyFill="1" applyAlignment="1">
      <alignment/>
    </xf>
    <xf numFmtId="164" fontId="32" fillId="0" borderId="0" xfId="0" applyFont="1" applyAlignment="1">
      <alignment/>
    </xf>
    <xf numFmtId="164" fontId="0" fillId="24" borderId="0" xfId="0" applyFont="1" applyFill="1" applyAlignment="1">
      <alignment/>
    </xf>
    <xf numFmtId="171" fontId="0" fillId="24" borderId="0" xfId="0" applyNumberFormat="1" applyFill="1" applyAlignment="1">
      <alignment/>
    </xf>
    <xf numFmtId="164" fontId="33" fillId="24" borderId="0" xfId="0" applyFont="1" applyFill="1" applyAlignment="1">
      <alignment/>
    </xf>
    <xf numFmtId="172" fontId="34" fillId="24" borderId="0" xfId="0" applyNumberFormat="1" applyFont="1" applyFill="1" applyAlignment="1">
      <alignment/>
    </xf>
    <xf numFmtId="173" fontId="33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173" fontId="0" fillId="24" borderId="0" xfId="0" applyNumberFormat="1" applyFont="1" applyFill="1" applyAlignment="1">
      <alignment/>
    </xf>
    <xf numFmtId="166" fontId="33" fillId="24" borderId="0" xfId="0" applyNumberFormat="1" applyFont="1" applyFill="1" applyAlignment="1">
      <alignment/>
    </xf>
    <xf numFmtId="164" fontId="35" fillId="0" borderId="33" xfId="0" applyFont="1" applyBorder="1" applyAlignment="1">
      <alignment vertical="center" wrapText="1"/>
    </xf>
    <xf numFmtId="164" fontId="35" fillId="0" borderId="33" xfId="0" applyFont="1" applyBorder="1" applyAlignment="1">
      <alignment horizontal="center" vertical="center" wrapText="1"/>
    </xf>
    <xf numFmtId="164" fontId="35" fillId="25" borderId="33" xfId="0" applyFont="1" applyFill="1" applyBorder="1" applyAlignment="1">
      <alignment horizontal="center" vertical="center" wrapText="1"/>
    </xf>
    <xf numFmtId="164" fontId="34" fillId="24" borderId="33" xfId="0" applyFont="1" applyFill="1" applyBorder="1" applyAlignment="1">
      <alignment horizontal="center" vertical="center" wrapText="1"/>
    </xf>
    <xf numFmtId="164" fontId="35" fillId="24" borderId="33" xfId="0" applyFont="1" applyFill="1" applyBorder="1" applyAlignment="1">
      <alignment horizontal="center" vertical="center" wrapText="1"/>
    </xf>
    <xf numFmtId="164" fontId="35" fillId="26" borderId="33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25" borderId="33" xfId="0" applyFill="1" applyBorder="1" applyAlignment="1">
      <alignment horizontal="center"/>
    </xf>
    <xf numFmtId="173" fontId="0" fillId="24" borderId="33" xfId="0" applyNumberFormat="1" applyFont="1" applyFill="1" applyBorder="1" applyAlignment="1">
      <alignment horizontal="center" vertical="center"/>
    </xf>
    <xf numFmtId="164" fontId="0" fillId="0" borderId="33" xfId="0" applyBorder="1" applyAlignment="1">
      <alignment horizontal="center"/>
    </xf>
    <xf numFmtId="173" fontId="33" fillId="25" borderId="33" xfId="0" applyNumberFormat="1" applyFont="1" applyFill="1" applyBorder="1" applyAlignment="1">
      <alignment horizontal="center" vertical="center"/>
    </xf>
    <xf numFmtId="174" fontId="36" fillId="24" borderId="33" xfId="0" applyNumberFormat="1" applyFont="1" applyFill="1" applyBorder="1" applyAlignment="1">
      <alignment horizontal="center" vertical="center"/>
    </xf>
    <xf numFmtId="166" fontId="33" fillId="24" borderId="33" xfId="0" applyNumberFormat="1" applyFont="1" applyFill="1" applyBorder="1" applyAlignment="1">
      <alignment horizontal="center" vertical="center"/>
    </xf>
    <xf numFmtId="172" fontId="33" fillId="24" borderId="33" xfId="0" applyNumberFormat="1" applyFont="1" applyFill="1" applyBorder="1" applyAlignment="1">
      <alignment horizontal="center" vertical="center"/>
    </xf>
    <xf numFmtId="172" fontId="33" fillId="26" borderId="33" xfId="0" applyNumberFormat="1" applyFont="1" applyFill="1" applyBorder="1" applyAlignment="1">
      <alignment horizontal="center" vertical="center"/>
    </xf>
    <xf numFmtId="175" fontId="33" fillId="26" borderId="33" xfId="0" applyNumberFormat="1" applyFont="1" applyFill="1" applyBorder="1" applyAlignment="1">
      <alignment horizontal="center" vertical="center"/>
    </xf>
    <xf numFmtId="173" fontId="33" fillId="26" borderId="33" xfId="0" applyNumberFormat="1" applyFont="1" applyFill="1" applyBorder="1" applyAlignment="1">
      <alignment vertical="center"/>
    </xf>
    <xf numFmtId="175" fontId="33" fillId="26" borderId="33" xfId="0" applyNumberFormat="1" applyFont="1" applyFill="1" applyBorder="1" applyAlignment="1">
      <alignment vertical="center"/>
    </xf>
    <xf numFmtId="164" fontId="33" fillId="26" borderId="33" xfId="0" applyNumberFormat="1" applyFont="1" applyFill="1" applyBorder="1" applyAlignment="1">
      <alignment vertical="center"/>
    </xf>
    <xf numFmtId="164" fontId="0" fillId="0" borderId="33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33" xfId="0" applyFont="1" applyBorder="1" applyAlignment="1">
      <alignment horizontal="center"/>
    </xf>
    <xf numFmtId="164" fontId="37" fillId="0" borderId="33" xfId="0" applyFont="1" applyBorder="1" applyAlignment="1">
      <alignment horizontal="center"/>
    </xf>
    <xf numFmtId="164" fontId="38" fillId="0" borderId="33" xfId="0" applyFont="1" applyBorder="1" applyAlignment="1">
      <alignment horizontal="center"/>
    </xf>
    <xf numFmtId="175" fontId="0" fillId="0" borderId="0" xfId="0" applyNumberFormat="1" applyAlignment="1">
      <alignment/>
    </xf>
    <xf numFmtId="173" fontId="33" fillId="24" borderId="0" xfId="0" applyNumberFormat="1" applyFont="1" applyFill="1" applyBorder="1" applyAlignment="1">
      <alignment vertical="center"/>
    </xf>
    <xf numFmtId="174" fontId="33" fillId="24" borderId="0" xfId="0" applyNumberFormat="1" applyFont="1" applyFill="1" applyBorder="1" applyAlignment="1">
      <alignment horizontal="center" vertical="center"/>
    </xf>
    <xf numFmtId="176" fontId="33" fillId="24" borderId="0" xfId="0" applyNumberFormat="1" applyFont="1" applyFill="1" applyBorder="1" applyAlignment="1">
      <alignment horizontal="center" vertical="center"/>
    </xf>
    <xf numFmtId="173" fontId="33" fillId="24" borderId="0" xfId="0" applyNumberFormat="1" applyFont="1" applyFill="1" applyBorder="1" applyAlignment="1">
      <alignment horizontal="center" vertical="center"/>
    </xf>
    <xf numFmtId="172" fontId="33" fillId="24" borderId="0" xfId="0" applyNumberFormat="1" applyFont="1" applyFill="1" applyBorder="1" applyAlignment="1">
      <alignment vertical="center"/>
    </xf>
    <xf numFmtId="175" fontId="33" fillId="24" borderId="0" xfId="0" applyNumberFormat="1" applyFont="1" applyFill="1" applyBorder="1" applyAlignment="1">
      <alignment horizontal="center" vertical="center"/>
    </xf>
    <xf numFmtId="175" fontId="33" fillId="24" borderId="0" xfId="0" applyNumberFormat="1" applyFont="1" applyFill="1" applyBorder="1" applyAlignment="1">
      <alignment vertical="center"/>
    </xf>
    <xf numFmtId="164" fontId="0" fillId="0" borderId="0" xfId="0" applyBorder="1" applyAlignment="1">
      <alignment/>
    </xf>
    <xf numFmtId="175" fontId="3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33" xfId="0" applyNumberFormat="1" applyFon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180975</xdr:rowOff>
    </xdr:from>
    <xdr:to>
      <xdr:col>1</xdr:col>
      <xdr:colOff>523875</xdr:colOff>
      <xdr:row>39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496300"/>
          <a:ext cx="1066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57150</xdr:rowOff>
    </xdr:from>
    <xdr:to>
      <xdr:col>2</xdr:col>
      <xdr:colOff>1019175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1628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workbookViewId="0" topLeftCell="A13">
      <selection activeCell="J30" sqref="J30"/>
    </sheetView>
  </sheetViews>
  <sheetFormatPr defaultColWidth="9.140625" defaultRowHeight="12.75"/>
  <cols>
    <col min="1" max="1" width="2.57421875" style="0" customWidth="1"/>
    <col min="2" max="2" width="8.57421875" style="0" customWidth="1"/>
    <col min="3" max="3" width="36.00390625" style="0" customWidth="1"/>
    <col min="4" max="8" width="12.7109375" style="0" customWidth="1"/>
    <col min="9" max="9" width="19.8515625" style="0" customWidth="1"/>
    <col min="10" max="10" width="12.7109375" style="0" customWidth="1"/>
    <col min="11" max="11" width="3.421875" style="0" customWidth="1"/>
    <col min="12" max="12" width="4.57421875" style="0" customWidth="1"/>
    <col min="13" max="13" width="10.7109375" style="1" customWidth="1"/>
    <col min="14" max="14" width="8.8515625" style="0" customWidth="1"/>
  </cols>
  <sheetData>
    <row r="1" spans="1:12" ht="19.5" customHeight="1">
      <c r="A1" s="2"/>
      <c r="B1" s="3" t="s">
        <v>0</v>
      </c>
      <c r="C1" s="4"/>
      <c r="D1" s="5"/>
      <c r="E1" s="5"/>
      <c r="F1" s="6"/>
      <c r="G1" s="6"/>
      <c r="H1" s="6"/>
      <c r="I1" s="5"/>
      <c r="J1" s="6"/>
      <c r="K1" s="7" t="s">
        <v>1</v>
      </c>
      <c r="L1" s="8"/>
    </row>
    <row r="2" spans="1:16" ht="14.25">
      <c r="A2" s="9"/>
      <c r="B2" s="10"/>
      <c r="C2" s="11"/>
      <c r="D2" s="12"/>
      <c r="E2" s="12"/>
      <c r="F2" s="12"/>
      <c r="G2" s="12"/>
      <c r="H2" s="12"/>
      <c r="I2" s="12"/>
      <c r="J2" s="10"/>
      <c r="K2" s="13"/>
      <c r="L2" s="8"/>
      <c r="P2" s="14"/>
    </row>
    <row r="3" spans="1:13" ht="26.25">
      <c r="A3" s="9"/>
      <c r="B3" s="15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8" t="s">
        <v>9</v>
      </c>
      <c r="J3" s="19" t="s">
        <v>10</v>
      </c>
      <c r="K3" s="13"/>
      <c r="M3"/>
    </row>
    <row r="4" spans="1:13" ht="14.25">
      <c r="A4" s="9"/>
      <c r="B4" s="10"/>
      <c r="C4" s="11"/>
      <c r="D4" s="12"/>
      <c r="E4" s="12"/>
      <c r="F4" s="12"/>
      <c r="G4" s="12"/>
      <c r="H4" s="12"/>
      <c r="I4" s="12"/>
      <c r="J4" s="10"/>
      <c r="K4" s="13"/>
      <c r="M4"/>
    </row>
    <row r="5" spans="1:13" ht="19.5" customHeight="1">
      <c r="A5" s="9"/>
      <c r="B5" s="20">
        <v>0</v>
      </c>
      <c r="C5" s="21" t="s">
        <v>11</v>
      </c>
      <c r="D5" s="22"/>
      <c r="E5" s="22"/>
      <c r="F5" s="22"/>
      <c r="G5" s="22"/>
      <c r="H5" s="22"/>
      <c r="I5" s="23"/>
      <c r="J5" s="24">
        <v>0.5</v>
      </c>
      <c r="K5" s="13"/>
      <c r="M5"/>
    </row>
    <row r="6" spans="1:13" ht="19.5" customHeight="1">
      <c r="A6" s="25"/>
      <c r="B6" s="26">
        <v>1</v>
      </c>
      <c r="C6" s="27" t="s">
        <v>12</v>
      </c>
      <c r="D6" s="28" t="s">
        <v>13</v>
      </c>
      <c r="E6" s="29">
        <v>10.94</v>
      </c>
      <c r="F6" s="29">
        <v>10.94</v>
      </c>
      <c r="G6" s="30">
        <v>0.009027777777777779</v>
      </c>
      <c r="H6" s="30"/>
      <c r="I6" s="31"/>
      <c r="J6" s="32">
        <f>J5+G6</f>
        <v>0.5090277777777777</v>
      </c>
      <c r="K6" s="33"/>
      <c r="M6" s="34">
        <f>F6*60/13</f>
        <v>50.49230769230769</v>
      </c>
    </row>
    <row r="7" spans="1:13" ht="19.5" customHeight="1">
      <c r="A7" s="9"/>
      <c r="B7" s="35" t="s">
        <v>14</v>
      </c>
      <c r="C7" s="36" t="s">
        <v>15</v>
      </c>
      <c r="D7" s="37">
        <v>0.6</v>
      </c>
      <c r="E7" s="38" t="s">
        <v>13</v>
      </c>
      <c r="F7" s="38" t="s">
        <v>13</v>
      </c>
      <c r="G7" s="39">
        <v>0.0020833333333333333</v>
      </c>
      <c r="H7" s="39"/>
      <c r="I7" s="40"/>
      <c r="J7" s="41">
        <f>J6+G7</f>
        <v>0.5111111111111111</v>
      </c>
      <c r="K7" s="13"/>
      <c r="M7"/>
    </row>
    <row r="8" spans="1:14" ht="19.5" customHeight="1">
      <c r="A8" s="9"/>
      <c r="B8" s="35"/>
      <c r="C8" s="36" t="s">
        <v>16</v>
      </c>
      <c r="D8" s="36"/>
      <c r="E8" s="36"/>
      <c r="F8" s="38"/>
      <c r="G8" s="42"/>
      <c r="H8" s="39"/>
      <c r="I8" s="40"/>
      <c r="J8" s="41"/>
      <c r="K8" s="13"/>
      <c r="M8"/>
      <c r="N8" s="43"/>
    </row>
    <row r="9" spans="1:13" ht="19.5" customHeight="1">
      <c r="A9" s="9"/>
      <c r="B9" s="35">
        <v>2</v>
      </c>
      <c r="C9" s="44" t="s">
        <v>17</v>
      </c>
      <c r="D9" s="37"/>
      <c r="E9" s="45">
        <f>F9-D7</f>
        <v>-0.6</v>
      </c>
      <c r="F9" s="38" t="s">
        <v>18</v>
      </c>
      <c r="G9" s="30">
        <v>0.014583333333333332</v>
      </c>
      <c r="H9" s="39"/>
      <c r="I9" s="40"/>
      <c r="J9" s="41">
        <f>J7+G9</f>
        <v>0.5256944444444444</v>
      </c>
      <c r="K9" s="13"/>
      <c r="M9" s="46">
        <f>F9*60/21</f>
        <v>0</v>
      </c>
    </row>
    <row r="10" spans="1:14" ht="19.5" customHeight="1">
      <c r="A10" s="9"/>
      <c r="B10" s="35" t="s">
        <v>19</v>
      </c>
      <c r="C10" s="36" t="s">
        <v>20</v>
      </c>
      <c r="D10" s="36"/>
      <c r="E10" s="36"/>
      <c r="F10" s="38"/>
      <c r="G10" s="39">
        <v>0.0020833333333333333</v>
      </c>
      <c r="H10" s="39"/>
      <c r="I10" s="40"/>
      <c r="J10" s="41"/>
      <c r="K10" s="13"/>
      <c r="M10"/>
      <c r="N10" s="47"/>
    </row>
    <row r="11" spans="1:14" ht="19.5" customHeight="1">
      <c r="A11" s="9"/>
      <c r="B11" s="35">
        <v>3</v>
      </c>
      <c r="C11" s="44" t="s">
        <v>21</v>
      </c>
      <c r="D11" s="38" t="s">
        <v>13</v>
      </c>
      <c r="E11" s="45">
        <v>19.57</v>
      </c>
      <c r="F11" s="45">
        <v>19.57</v>
      </c>
      <c r="G11" s="48">
        <v>0.022222222222222223</v>
      </c>
      <c r="H11" s="48"/>
      <c r="I11" s="49"/>
      <c r="J11" s="50">
        <f>J9+G11</f>
        <v>0.5479166666666666</v>
      </c>
      <c r="K11" s="13"/>
      <c r="M11" s="51">
        <f>F11*60/32</f>
        <v>36.69375</v>
      </c>
      <c r="N11" s="47"/>
    </row>
    <row r="12" spans="1:14" ht="19.5" customHeight="1">
      <c r="A12" s="9"/>
      <c r="B12" s="35">
        <v>4</v>
      </c>
      <c r="C12" s="44" t="s">
        <v>22</v>
      </c>
      <c r="D12" s="38"/>
      <c r="E12" s="45">
        <v>11.75</v>
      </c>
      <c r="F12" s="45">
        <v>11.75</v>
      </c>
      <c r="G12" s="48">
        <v>0.008333333333333333</v>
      </c>
      <c r="H12" s="48"/>
      <c r="I12" s="49"/>
      <c r="J12" s="50">
        <f>G12+J11</f>
        <v>0.5562499999999999</v>
      </c>
      <c r="K12" s="13"/>
      <c r="M12" s="51">
        <f>F12*60/12</f>
        <v>58.75</v>
      </c>
      <c r="N12" s="43"/>
    </row>
    <row r="13" spans="1:14" ht="19.5" customHeight="1">
      <c r="A13" s="9"/>
      <c r="B13" s="35" t="s">
        <v>23</v>
      </c>
      <c r="C13" s="36" t="s">
        <v>24</v>
      </c>
      <c r="D13" s="37">
        <v>0.6</v>
      </c>
      <c r="E13" s="38" t="s">
        <v>13</v>
      </c>
      <c r="F13" s="38" t="s">
        <v>13</v>
      </c>
      <c r="G13" s="39">
        <v>0.010416666666666666</v>
      </c>
      <c r="H13" s="39"/>
      <c r="I13" s="40"/>
      <c r="J13" s="41">
        <f>J11+G13</f>
        <v>0.5583333333333332</v>
      </c>
      <c r="K13" s="13"/>
      <c r="M13"/>
      <c r="N13" s="47"/>
    </row>
    <row r="14" spans="1:14" ht="19.5" customHeight="1">
      <c r="A14" s="9"/>
      <c r="B14" s="52"/>
      <c r="C14" s="36" t="s">
        <v>25</v>
      </c>
      <c r="D14" s="36"/>
      <c r="E14" s="36"/>
      <c r="F14" s="38"/>
      <c r="G14" s="53">
        <v>0.010416666666666666</v>
      </c>
      <c r="H14" s="53"/>
      <c r="I14" s="54"/>
      <c r="J14" s="41"/>
      <c r="K14" s="13"/>
      <c r="M14"/>
      <c r="N14" s="43"/>
    </row>
    <row r="15" spans="1:13" ht="19.5" customHeight="1">
      <c r="A15" s="9"/>
      <c r="B15" s="55">
        <v>5</v>
      </c>
      <c r="C15" s="56" t="s">
        <v>26</v>
      </c>
      <c r="D15" s="57"/>
      <c r="E15" s="45">
        <f>F15-D13</f>
        <v>20.9</v>
      </c>
      <c r="F15" s="45">
        <v>21.5</v>
      </c>
      <c r="G15" s="48">
        <v>0.022222222222222223</v>
      </c>
      <c r="H15" s="48"/>
      <c r="I15" s="49"/>
      <c r="J15" s="50">
        <f>J13+G15</f>
        <v>0.5805555555555555</v>
      </c>
      <c r="K15" s="58"/>
      <c r="M15" s="51">
        <f>F15*60/32</f>
        <v>40.3125</v>
      </c>
    </row>
    <row r="16" spans="1:13" ht="19.5" customHeight="1">
      <c r="A16" s="59"/>
      <c r="B16" s="60"/>
      <c r="C16" s="61" t="s">
        <v>27</v>
      </c>
      <c r="D16" s="62">
        <f>D7+D13</f>
        <v>1.2</v>
      </c>
      <c r="E16" s="63">
        <f>E6+E9+E11+E12+E15</f>
        <v>62.559999999999995</v>
      </c>
      <c r="F16" s="63">
        <f>F6+F9+F11+F12+F15</f>
        <v>63.76</v>
      </c>
      <c r="G16" s="64"/>
      <c r="H16" s="64"/>
      <c r="I16" s="65"/>
      <c r="J16" s="66"/>
      <c r="K16" s="58"/>
      <c r="M16"/>
    </row>
    <row r="17" spans="2:13" ht="12">
      <c r="B17" s="67"/>
      <c r="C17" s="67"/>
      <c r="D17" s="67"/>
      <c r="E17" s="67"/>
      <c r="F17" s="67"/>
      <c r="G17" s="67"/>
      <c r="H17" s="67"/>
      <c r="I17" s="67"/>
      <c r="J17" s="67"/>
      <c r="K17" s="68"/>
      <c r="M17"/>
    </row>
    <row r="18" spans="2:13" ht="12">
      <c r="B18" s="14" t="s">
        <v>28</v>
      </c>
      <c r="M18" s="69"/>
    </row>
    <row r="19" spans="2:13" ht="12">
      <c r="B19" s="14" t="s">
        <v>29</v>
      </c>
      <c r="M19" s="69"/>
    </row>
    <row r="20" ht="12">
      <c r="B20" s="14" t="s">
        <v>30</v>
      </c>
    </row>
    <row r="21" ht="12">
      <c r="B21" s="70" t="s">
        <v>31</v>
      </c>
    </row>
    <row r="23" spans="1:13" ht="12.75" customHeight="1">
      <c r="A23" s="71" t="s">
        <v>32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72"/>
    </row>
    <row r="24" spans="1:13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72"/>
    </row>
    <row r="25" spans="1:13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72"/>
    </row>
    <row r="26" spans="1:13" ht="12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</row>
    <row r="28" spans="1:13" ht="13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2"/>
    </row>
  </sheetData>
  <mergeCells count="4">
    <mergeCell ref="C8:E8"/>
    <mergeCell ref="C10:E10"/>
    <mergeCell ref="C14:E14"/>
    <mergeCell ref="A23:K28"/>
  </mergeCells>
  <printOptions/>
  <pageMargins left="0.11805555555555557" right="0.25" top="0.7479166666666667" bottom="0.7479166666666667" header="0.5118055555555556" footer="0.5118055555555556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33.8515625" style="0" customWidth="1"/>
    <col min="3" max="3" width="16.7109375" style="0" customWidth="1"/>
    <col min="4" max="4" width="11.28125" style="0" customWidth="1"/>
    <col min="5" max="5" width="10.140625" style="73" customWidth="1"/>
    <col min="6" max="6" width="5.57421875" style="73" customWidth="1"/>
    <col min="7" max="11" width="7.28125" style="73" customWidth="1"/>
    <col min="12" max="12" width="6.28125" style="73" customWidth="1"/>
    <col min="13" max="13" width="7.28125" style="73" customWidth="1"/>
    <col min="14" max="14" width="7.421875" style="73" customWidth="1"/>
    <col min="15" max="15" width="0" style="73" hidden="1" customWidth="1"/>
    <col min="16" max="17" width="7.28125" style="73" customWidth="1"/>
    <col min="18" max="18" width="0" style="73" hidden="1" customWidth="1"/>
    <col min="19" max="20" width="7.28125" style="73" customWidth="1"/>
    <col min="21" max="21" width="0" style="73" hidden="1" customWidth="1"/>
    <col min="22" max="23" width="7.28125" style="73" customWidth="1"/>
    <col min="24" max="24" width="0" style="73" hidden="1" customWidth="1"/>
    <col min="25" max="26" width="7.28125" style="73" customWidth="1"/>
    <col min="27" max="28" width="8.140625" style="73" customWidth="1"/>
    <col min="29" max="29" width="8.00390625" style="73" customWidth="1"/>
    <col min="30" max="30" width="6.28125" style="73" customWidth="1"/>
    <col min="31" max="32" width="7.28125" style="73" customWidth="1"/>
    <col min="33" max="35" width="0" style="73" hidden="1" customWidth="1"/>
    <col min="36" max="36" width="7.421875" style="73" customWidth="1"/>
    <col min="37" max="38" width="9.00390625" style="73" customWidth="1"/>
    <col min="39" max="39" width="6.140625" style="73" customWidth="1"/>
    <col min="40" max="41" width="8.7109375" style="73" customWidth="1"/>
  </cols>
  <sheetData>
    <row r="1" spans="9:34" ht="12.75" hidden="1">
      <c r="I1" s="73">
        <v>60</v>
      </c>
      <c r="M1" s="73">
        <v>60</v>
      </c>
      <c r="P1" s="73">
        <v>60</v>
      </c>
      <c r="S1" s="73">
        <v>60</v>
      </c>
      <c r="V1" s="73">
        <v>60</v>
      </c>
      <c r="Y1" s="73">
        <v>60</v>
      </c>
      <c r="AE1" s="73">
        <v>60</v>
      </c>
      <c r="AH1" s="73">
        <v>60</v>
      </c>
    </row>
    <row r="2" spans="8:34" ht="12.75" hidden="1">
      <c r="H2" s="73" t="s">
        <v>33</v>
      </c>
      <c r="I2" s="73">
        <v>50</v>
      </c>
      <c r="M2" s="73">
        <v>38</v>
      </c>
      <c r="P2" s="73">
        <v>38</v>
      </c>
      <c r="S2" s="73">
        <v>38</v>
      </c>
      <c r="V2" s="73">
        <v>38</v>
      </c>
      <c r="Y2" s="73">
        <v>38</v>
      </c>
      <c r="AE2" s="73">
        <v>55</v>
      </c>
      <c r="AH2" s="73">
        <v>55</v>
      </c>
    </row>
    <row r="3" spans="8:34" ht="12.75" hidden="1">
      <c r="H3" s="73" t="s">
        <v>34</v>
      </c>
      <c r="I3" s="74">
        <v>10.72</v>
      </c>
      <c r="M3" s="74">
        <v>2.74</v>
      </c>
      <c r="P3" s="74">
        <v>5.55</v>
      </c>
      <c r="S3" s="74">
        <v>10.66</v>
      </c>
      <c r="V3" s="74">
        <v>14.26</v>
      </c>
      <c r="Y3" s="74">
        <v>17.96</v>
      </c>
      <c r="AE3" s="74">
        <v>6.07</v>
      </c>
      <c r="AH3" s="74">
        <v>8.897</v>
      </c>
    </row>
    <row r="4" spans="3:36" ht="12.75" hidden="1">
      <c r="C4" s="75"/>
      <c r="H4" s="73" t="s">
        <v>35</v>
      </c>
      <c r="I4" s="73">
        <f>I3*I1/I2</f>
        <v>12.864</v>
      </c>
      <c r="M4" s="73">
        <f>M3*M1/M2</f>
        <v>4.326315789473685</v>
      </c>
      <c r="P4" s="73">
        <f>P3*P1/P2</f>
        <v>8.763157894736842</v>
      </c>
      <c r="S4" s="73">
        <f>S3*S1/S2</f>
        <v>16.83157894736842</v>
      </c>
      <c r="V4" s="73">
        <f>V3*V1/V2</f>
        <v>22.51578947368421</v>
      </c>
      <c r="Y4" s="73">
        <f>Y3*Y1/Y2</f>
        <v>28.35789473684211</v>
      </c>
      <c r="AE4" s="73">
        <f>AE3*AE1/AE2</f>
        <v>6.621818181818183</v>
      </c>
      <c r="AH4" s="73">
        <f>AH3*AH1/AH2</f>
        <v>9.705818181818183</v>
      </c>
      <c r="AJ4" s="76"/>
    </row>
    <row r="5" spans="8:34" ht="12.75" hidden="1">
      <c r="H5" s="73" t="s">
        <v>36</v>
      </c>
      <c r="I5" s="77">
        <f>I4*I1</f>
        <v>771.84</v>
      </c>
      <c r="M5" s="77">
        <f>M4*M1</f>
        <v>259.5789473684211</v>
      </c>
      <c r="P5" s="77">
        <f>P4*P1</f>
        <v>525.7894736842105</v>
      </c>
      <c r="S5" s="77">
        <f>S4*S1</f>
        <v>1009.8947368421052</v>
      </c>
      <c r="V5" s="77">
        <f>V4*V1</f>
        <v>1350.9473684210527</v>
      </c>
      <c r="Y5" s="77">
        <f>Y4*Y1</f>
        <v>1701.4736842105265</v>
      </c>
      <c r="AE5" s="77">
        <f>AE4*AE1</f>
        <v>397.30909090909097</v>
      </c>
      <c r="AH5" s="77">
        <f>AH4*AH1</f>
        <v>582.3490909090909</v>
      </c>
    </row>
    <row r="6" spans="9:34" ht="12.75" hidden="1">
      <c r="I6" s="77"/>
      <c r="M6" s="77"/>
      <c r="P6" s="77"/>
      <c r="S6" s="77"/>
      <c r="V6" s="77"/>
      <c r="Y6" s="77"/>
      <c r="AE6" s="77"/>
      <c r="AH6" s="77"/>
    </row>
    <row r="7" spans="9:34" ht="12.75" hidden="1">
      <c r="I7" s="77">
        <f>12*60</f>
        <v>720</v>
      </c>
      <c r="M7" s="77">
        <f>4*60</f>
        <v>240</v>
      </c>
      <c r="P7" s="77">
        <f>8*60</f>
        <v>480</v>
      </c>
      <c r="S7" s="77">
        <f>16*60</f>
        <v>960</v>
      </c>
      <c r="V7" s="77">
        <f>22*60</f>
        <v>1320</v>
      </c>
      <c r="Y7" s="77">
        <f>28*60</f>
        <v>1680</v>
      </c>
      <c r="AE7" s="77">
        <f>6*60</f>
        <v>360</v>
      </c>
      <c r="AH7" s="77">
        <f>9*60</f>
        <v>540</v>
      </c>
    </row>
    <row r="8" spans="9:34" ht="12.75" hidden="1">
      <c r="I8" s="77">
        <f>I5-I7</f>
        <v>51.84000000000003</v>
      </c>
      <c r="M8" s="77">
        <f>M5-M7</f>
        <v>19.578947368421098</v>
      </c>
      <c r="P8" s="77">
        <f>P5-P7</f>
        <v>45.78947368421052</v>
      </c>
      <c r="S8" s="77">
        <f>S5-S7</f>
        <v>49.8947368421052</v>
      </c>
      <c r="V8" s="77">
        <f>V5-V7</f>
        <v>30.947368421052715</v>
      </c>
      <c r="Y8" s="77">
        <f>Y5-Y7</f>
        <v>21.47368421052647</v>
      </c>
      <c r="AE8" s="77">
        <f>AE5-AE7</f>
        <v>37.30909090909097</v>
      </c>
      <c r="AH8" s="77">
        <f>AH5-AH7</f>
        <v>42.34909090909093</v>
      </c>
    </row>
    <row r="9" spans="9:34" ht="12">
      <c r="I9" s="77"/>
      <c r="M9" s="77"/>
      <c r="P9" s="77"/>
      <c r="S9" s="77"/>
      <c r="V9" s="77"/>
      <c r="Y9" s="77"/>
      <c r="AE9" s="77"/>
      <c r="AH9" s="77"/>
    </row>
    <row r="10" spans="9:34" ht="12">
      <c r="I10" s="77"/>
      <c r="M10" s="77"/>
      <c r="P10" s="77"/>
      <c r="S10" s="77"/>
      <c r="V10" s="77"/>
      <c r="Y10" s="77"/>
      <c r="AE10" s="77"/>
      <c r="AH10" s="77"/>
    </row>
    <row r="11" spans="9:34" ht="12">
      <c r="I11" s="77"/>
      <c r="M11" s="77"/>
      <c r="P11" s="77"/>
      <c r="S11" s="77"/>
      <c r="V11" s="77"/>
      <c r="Y11" s="77"/>
      <c r="AE11" s="77"/>
      <c r="AH11" s="77"/>
    </row>
    <row r="12" spans="3:36" ht="12">
      <c r="C12" s="75" t="s">
        <v>37</v>
      </c>
      <c r="D12" s="73"/>
      <c r="H12" s="78"/>
      <c r="I12" s="79">
        <v>0.008935185185185187</v>
      </c>
      <c r="J12" s="80"/>
      <c r="M12" s="79">
        <v>0.003009259259259259</v>
      </c>
      <c r="P12" s="79">
        <v>0.006087962962962964</v>
      </c>
      <c r="S12" s="79">
        <v>0.011689814814814814</v>
      </c>
      <c r="V12" s="79">
        <v>0.015636574074074074</v>
      </c>
      <c r="Y12" s="79">
        <v>0.0196875</v>
      </c>
      <c r="AE12" s="79">
        <v>0.004594907407407408</v>
      </c>
      <c r="AH12" s="79">
        <v>0</v>
      </c>
      <c r="AJ12" s="79"/>
    </row>
    <row r="13" spans="9:36" ht="12">
      <c r="I13" s="81"/>
      <c r="J13" s="82"/>
      <c r="M13" s="81"/>
      <c r="P13" s="81"/>
      <c r="S13" s="81"/>
      <c r="V13" s="81"/>
      <c r="Y13" s="81"/>
      <c r="AE13" s="81"/>
      <c r="AH13" s="81"/>
      <c r="AJ13" s="83"/>
    </row>
    <row r="14" spans="1:42" s="90" customFormat="1" ht="25.5" customHeight="1">
      <c r="A14" s="84" t="s">
        <v>38</v>
      </c>
      <c r="B14" s="85" t="s">
        <v>39</v>
      </c>
      <c r="C14" s="85" t="s">
        <v>40</v>
      </c>
      <c r="D14" s="85" t="s">
        <v>41</v>
      </c>
      <c r="E14" s="86" t="s">
        <v>42</v>
      </c>
      <c r="F14" s="86" t="s">
        <v>43</v>
      </c>
      <c r="G14" s="87" t="s">
        <v>44</v>
      </c>
      <c r="H14" s="88" t="s">
        <v>45</v>
      </c>
      <c r="I14" s="88" t="s">
        <v>46</v>
      </c>
      <c r="J14" s="89" t="s">
        <v>47</v>
      </c>
      <c r="K14" s="86" t="s">
        <v>48</v>
      </c>
      <c r="L14" s="88" t="s">
        <v>49</v>
      </c>
      <c r="M14" s="88" t="s">
        <v>50</v>
      </c>
      <c r="N14" s="89" t="s">
        <v>51</v>
      </c>
      <c r="O14" s="88" t="s">
        <v>49</v>
      </c>
      <c r="P14" s="88" t="s">
        <v>52</v>
      </c>
      <c r="Q14" s="89" t="s">
        <v>53</v>
      </c>
      <c r="R14" s="88" t="s">
        <v>49</v>
      </c>
      <c r="S14" s="88" t="s">
        <v>54</v>
      </c>
      <c r="T14" s="89" t="s">
        <v>55</v>
      </c>
      <c r="U14" s="88" t="s">
        <v>49</v>
      </c>
      <c r="V14" s="88" t="s">
        <v>56</v>
      </c>
      <c r="W14" s="89" t="s">
        <v>57</v>
      </c>
      <c r="X14" s="88" t="s">
        <v>49</v>
      </c>
      <c r="Y14" s="88" t="s">
        <v>58</v>
      </c>
      <c r="Z14" s="89" t="s">
        <v>59</v>
      </c>
      <c r="AA14" s="86" t="s">
        <v>60</v>
      </c>
      <c r="AB14" s="86" t="s">
        <v>61</v>
      </c>
      <c r="AC14" s="87" t="s">
        <v>62</v>
      </c>
      <c r="AD14" s="88" t="s">
        <v>63</v>
      </c>
      <c r="AE14" s="88" t="s">
        <v>64</v>
      </c>
      <c r="AF14" s="89" t="s">
        <v>65</v>
      </c>
      <c r="AG14" s="88" t="s">
        <v>63</v>
      </c>
      <c r="AH14" s="88" t="s">
        <v>66</v>
      </c>
      <c r="AI14" s="89" t="s">
        <v>67</v>
      </c>
      <c r="AJ14" s="86" t="s">
        <v>68</v>
      </c>
      <c r="AK14" s="89" t="s">
        <v>69</v>
      </c>
      <c r="AL14" s="86" t="s">
        <v>70</v>
      </c>
      <c r="AM14" s="89" t="s">
        <v>71</v>
      </c>
      <c r="AN14" s="89" t="s">
        <v>72</v>
      </c>
      <c r="AO14" s="89" t="s">
        <v>73</v>
      </c>
      <c r="AP14" s="84" t="s">
        <v>74</v>
      </c>
    </row>
    <row r="15" spans="1:42" s="104" customFormat="1" ht="24.75" customHeight="1">
      <c r="A15" s="91">
        <f aca="true" t="shared" si="0" ref="A15:D28">A43</f>
        <v>4</v>
      </c>
      <c r="B15" s="92" t="str">
        <f t="shared" si="0"/>
        <v>Gunārs Gutlands / Ēriks Paculis</v>
      </c>
      <c r="C15" s="93" t="str">
        <f t="shared" si="0"/>
        <v>Golf 4</v>
      </c>
      <c r="D15" s="93" t="str">
        <f t="shared" si="0"/>
        <v>2WD</v>
      </c>
      <c r="E15" s="94">
        <v>0</v>
      </c>
      <c r="F15" s="94">
        <v>0</v>
      </c>
      <c r="G15" s="95">
        <v>0.0005101851851851852</v>
      </c>
      <c r="H15" s="96">
        <v>0.5118055555555555</v>
      </c>
      <c r="I15" s="97">
        <v>0.5192476851851852</v>
      </c>
      <c r="J15" s="98">
        <f>IF(I15-(H15+$I$12)&lt;0,(I15-(H15+$I$12))*-1,I15-(H15+$I$12))</f>
        <v>0.001493055555555567</v>
      </c>
      <c r="K15" s="94">
        <v>0</v>
      </c>
      <c r="L15" s="96">
        <v>0.5284722222222222</v>
      </c>
      <c r="M15" s="97">
        <v>0.5314163194444445</v>
      </c>
      <c r="N15" s="98">
        <f>IF(M15-(L15+$M$12)&lt;0,(M15-(L15+$M$12))*-1,M15-(L15+$M$12))</f>
        <v>6.516203703699208E-05</v>
      </c>
      <c r="O15" s="96">
        <f>L15</f>
        <v>0.5284722222222222</v>
      </c>
      <c r="P15" s="97">
        <v>0.5361873842592593</v>
      </c>
      <c r="Q15" s="98">
        <f>IF(P15-(O15+$P$12)&lt;0,(P15-(O15+$P$12))*-1,P15-(O15+$P$12))</f>
        <v>0.0016271990740740483</v>
      </c>
      <c r="R15" s="96">
        <f>L15</f>
        <v>0.5284722222222222</v>
      </c>
      <c r="S15" s="97">
        <v>0.5401736111111112</v>
      </c>
      <c r="T15" s="98">
        <f>IF(S15-(R15+$S$12)&lt;0,(S15-(R15+$S$12))*-1,S15-(R15+$S$12))</f>
        <v>1.1574074074149898E-05</v>
      </c>
      <c r="U15" s="96">
        <f>R15</f>
        <v>0.5284722222222222</v>
      </c>
      <c r="V15" s="97">
        <v>0.5450810185185185</v>
      </c>
      <c r="W15" s="98">
        <f>IF(V15-(U15+$V$12)&lt;0,(V15-(U15+$V$12))*-1,V15-(U15+$V$12))</f>
        <v>0.0009722222222222632</v>
      </c>
      <c r="X15" s="96">
        <f>U15</f>
        <v>0.5284722222222222</v>
      </c>
      <c r="Y15" s="97">
        <v>0.5482291666666667</v>
      </c>
      <c r="Z15" s="98">
        <f>IF(Y15-(X15+$Y$12)&lt;0,(Y15-(X15+$Y$12))*-1,Y15-(X15+$Y$12))</f>
        <v>6.94444444444553E-05</v>
      </c>
      <c r="AA15" s="94">
        <v>0</v>
      </c>
      <c r="AB15" s="94">
        <v>0.00011574074074074073</v>
      </c>
      <c r="AC15" s="95">
        <v>0.0012960648148148148</v>
      </c>
      <c r="AD15" s="96">
        <v>0.5618055555555556</v>
      </c>
      <c r="AE15" s="97">
        <v>0.566238425925926</v>
      </c>
      <c r="AF15" s="98">
        <f>IF(AE15-(AD15+$AE$12)&lt;0,(AE15-(AD15+$AE$12))*-1,AE15-(AD15+$AE$12))</f>
        <v>0.00016203703703698835</v>
      </c>
      <c r="AG15" s="96">
        <v>0</v>
      </c>
      <c r="AH15" s="97">
        <v>0</v>
      </c>
      <c r="AI15" s="98">
        <f>IF(AH15-(AG15+$AH$12)&lt;0,(AH15-(AG15+$AH$12))*-1,AH15-(AG15+$AH$12))</f>
        <v>0</v>
      </c>
      <c r="AJ15" s="94">
        <v>0</v>
      </c>
      <c r="AK15" s="99">
        <f>SUM(G15,AC15)</f>
        <v>0.0018062500000000001</v>
      </c>
      <c r="AL15" s="99">
        <f>SUM(E15,K15,AA15,AB15,AJ15)</f>
        <v>0.00011574074074074073</v>
      </c>
      <c r="AM15" s="100">
        <f>SUM(J15,N15,Q15,T15,W15,Z15,AF15,AI15)</f>
        <v>0.004400694444444464</v>
      </c>
      <c r="AN15" s="101">
        <f>SUM(AK15:AM15)</f>
        <v>0.0063226851851852055</v>
      </c>
      <c r="AO15" s="102">
        <f>9*60+6.3</f>
        <v>546.3</v>
      </c>
      <c r="AP15" s="103">
        <v>2</v>
      </c>
    </row>
    <row r="16" spans="1:42" ht="24.75" customHeight="1">
      <c r="A16" s="91">
        <f t="shared" si="0"/>
        <v>5</v>
      </c>
      <c r="B16" s="92" t="str">
        <f t="shared" si="0"/>
        <v>Ēriks Melbārzdis/Vilnis Melbārzdis</v>
      </c>
      <c r="C16" s="93" t="str">
        <f t="shared" si="0"/>
        <v>Toyota Corolla</v>
      </c>
      <c r="D16" s="93" t="str">
        <f t="shared" si="0"/>
        <v>2WD</v>
      </c>
      <c r="E16" s="94">
        <v>0</v>
      </c>
      <c r="F16" s="94">
        <v>0.00034722222222222224</v>
      </c>
      <c r="G16" s="95">
        <v>0.0005392361111111111</v>
      </c>
      <c r="H16" s="96">
        <v>0.5159722222222222</v>
      </c>
      <c r="I16" s="97">
        <v>0.5222759259259259</v>
      </c>
      <c r="J16" s="98">
        <f aca="true" t="shared" si="1" ref="J16:J24">IF(I16-(H16+$I$12)&lt;0,(I16-(H16+$I$12))*-1,I16-(H16+$I$12))</f>
        <v>0.0026314814814815124</v>
      </c>
      <c r="K16" s="94">
        <v>0.001388888888888889</v>
      </c>
      <c r="L16" s="96">
        <v>0.5298611111111111</v>
      </c>
      <c r="M16" s="97">
        <v>0.5333918981481481</v>
      </c>
      <c r="N16" s="98">
        <f aca="true" t="shared" si="2" ref="N16:N24">IF(M16-(L16+$M$12)&lt;0,(M16-(L16+$M$12))*-1,M16-(L16+$M$12))</f>
        <v>0.0005215277777778082</v>
      </c>
      <c r="O16" s="96">
        <f>L16</f>
        <v>0.5298611111111111</v>
      </c>
      <c r="P16" s="97">
        <v>0.5363052083333334</v>
      </c>
      <c r="Q16" s="98">
        <f aca="true" t="shared" si="3" ref="Q16:Q24">IF(P16-(O16+$P$12)&lt;0,(P16-(O16+$P$12))*-1,P16-(O16+$P$12))</f>
        <v>0.00035613425925928865</v>
      </c>
      <c r="R16" s="96">
        <f aca="true" t="shared" si="4" ref="R16:R24">L16</f>
        <v>0.5298611111111111</v>
      </c>
      <c r="S16" s="97">
        <v>0.5411805555555556</v>
      </c>
      <c r="T16" s="98">
        <f aca="true" t="shared" si="5" ref="T16:T24">IF(S16-(R16+$S$12)&lt;0,(S16-(R16+$S$12))*-1,S16-(R16+$S$12))</f>
        <v>0.00037037037037035425</v>
      </c>
      <c r="U16" s="96">
        <f aca="true" t="shared" si="6" ref="U16:U24">R16</f>
        <v>0.5298611111111111</v>
      </c>
      <c r="V16" s="97">
        <v>0.5450231481481481</v>
      </c>
      <c r="W16" s="98">
        <f aca="true" t="shared" si="7" ref="W16:W24">IF(V16-(U16+$V$12)&lt;0,(V16-(U16+$V$12))*-1,V16-(U16+$V$12))</f>
        <v>0.0004745370370370372</v>
      </c>
      <c r="X16" s="96">
        <f aca="true" t="shared" si="8" ref="X16:X24">U16</f>
        <v>0.5298611111111111</v>
      </c>
      <c r="Y16" s="97">
        <v>0.5482291666666667</v>
      </c>
      <c r="Z16" s="98">
        <f aca="true" t="shared" si="9" ref="Z16:Z24">IF(Y16-(X16+$Y$12)&lt;0,(Y16-(X16+$Y$12))*-1,Y16-(X16+$Y$12))</f>
        <v>0.0013194444444444287</v>
      </c>
      <c r="AA16" s="94">
        <v>0.00011574074074074073</v>
      </c>
      <c r="AB16" s="94">
        <v>0.0005787037037037038</v>
      </c>
      <c r="AC16" s="95">
        <v>0.0006182870370370371</v>
      </c>
      <c r="AD16" s="96">
        <v>0.5666666666666667</v>
      </c>
      <c r="AE16" s="97">
        <v>0.5717708333333333</v>
      </c>
      <c r="AF16" s="98">
        <f aca="true" t="shared" si="10" ref="AF16:AF24">IF(AE16-(AD16+$AE$12)&lt;0,(AE16-(AD16+$AE$12))*-1,AE16-(AD16+$AE$12))</f>
        <v>0.0005092592592592649</v>
      </c>
      <c r="AG16" s="96">
        <v>0</v>
      </c>
      <c r="AH16" s="97">
        <v>0</v>
      </c>
      <c r="AI16" s="98">
        <f aca="true" t="shared" si="11" ref="AI16:AI24">IF(AH16-(AG16+$AH$12)&lt;0,(AH16-(AG16+$AH$12))*-1,AH16-(AG16+$AH$12))</f>
        <v>0</v>
      </c>
      <c r="AJ16" s="94">
        <v>0</v>
      </c>
      <c r="AK16" s="99">
        <f aca="true" t="shared" si="12" ref="AK16:AK24">SUM(G16,AC16)</f>
        <v>0.0011575231481481482</v>
      </c>
      <c r="AL16" s="99">
        <f aca="true" t="shared" si="13" ref="AL16:AL24">SUM(E16,K16,AA16,AB16,AJ16)</f>
        <v>0.0020833333333333333</v>
      </c>
      <c r="AM16" s="100">
        <f aca="true" t="shared" si="14" ref="AM16:AM24">SUM(J16,N16,Q16,T16,W16,Z16,AF16,AI16)</f>
        <v>0.006182754629629694</v>
      </c>
      <c r="AN16" s="101">
        <f aca="true" t="shared" si="15" ref="AN16:AN24">SUM(AK16:AM16)</f>
        <v>0.009423611111111176</v>
      </c>
      <c r="AO16" s="102">
        <f>13*60+34.2</f>
        <v>814.2</v>
      </c>
      <c r="AP16" s="105">
        <v>6</v>
      </c>
    </row>
    <row r="17" spans="1:42" ht="24.75" customHeight="1">
      <c r="A17" s="91">
        <f t="shared" si="0"/>
        <v>6</v>
      </c>
      <c r="B17" s="92" t="str">
        <f t="shared" si="0"/>
        <v>Voldemārs Laduss/Juris Zjabrikovs</v>
      </c>
      <c r="C17" s="93" t="str">
        <f t="shared" si="0"/>
        <v>Renault</v>
      </c>
      <c r="D17" s="93" t="str">
        <f t="shared" si="0"/>
        <v>2WD</v>
      </c>
      <c r="E17" s="94">
        <v>0</v>
      </c>
      <c r="F17" s="94">
        <v>0.00011574074074074073</v>
      </c>
      <c r="G17" s="95">
        <v>0.000553587962962963</v>
      </c>
      <c r="H17" s="96">
        <v>0.5034722222222222</v>
      </c>
      <c r="I17" s="97">
        <v>0.5244037037037037</v>
      </c>
      <c r="J17" s="98">
        <f t="shared" si="1"/>
        <v>0.011996296296296283</v>
      </c>
      <c r="K17" s="94">
        <v>0.001388888888888889</v>
      </c>
      <c r="L17" s="96">
        <v>0.53125</v>
      </c>
      <c r="M17" s="97">
        <v>0.535159375</v>
      </c>
      <c r="N17" s="98">
        <f t="shared" si="2"/>
        <v>0.0009001157407407812</v>
      </c>
      <c r="O17" s="96">
        <f aca="true" t="shared" si="16" ref="O17:O24">L17</f>
        <v>0.53125</v>
      </c>
      <c r="P17" s="97">
        <v>0.5381175925925926</v>
      </c>
      <c r="Q17" s="98">
        <f t="shared" si="3"/>
        <v>0.0007796296296296301</v>
      </c>
      <c r="R17" s="96">
        <f t="shared" si="4"/>
        <v>0.53125</v>
      </c>
      <c r="S17" s="97">
        <v>0.541863425925926</v>
      </c>
      <c r="T17" s="98">
        <f t="shared" si="5"/>
        <v>0.001076388888888835</v>
      </c>
      <c r="U17" s="96">
        <f t="shared" si="6"/>
        <v>0.53125</v>
      </c>
      <c r="V17" s="97">
        <v>0.5553703703703704</v>
      </c>
      <c r="W17" s="98">
        <f t="shared" si="7"/>
        <v>0.008483796296296364</v>
      </c>
      <c r="X17" s="96">
        <f t="shared" si="8"/>
        <v>0.53125</v>
      </c>
      <c r="Y17" s="97">
        <v>0.5596875</v>
      </c>
      <c r="Z17" s="98">
        <f t="shared" si="9"/>
        <v>0.008750000000000036</v>
      </c>
      <c r="AA17" s="94">
        <v>0.0012731481481481483</v>
      </c>
      <c r="AB17" s="94">
        <v>0.00011574074074074073</v>
      </c>
      <c r="AC17" s="95">
        <v>0.000621412037037037</v>
      </c>
      <c r="AD17" s="96">
        <v>0.5722222222222222</v>
      </c>
      <c r="AE17" s="97">
        <v>0.5771180555555556</v>
      </c>
      <c r="AF17" s="98">
        <f t="shared" si="10"/>
        <v>0.00030092592592601</v>
      </c>
      <c r="AG17" s="96">
        <v>0</v>
      </c>
      <c r="AH17" s="97">
        <v>0</v>
      </c>
      <c r="AI17" s="98">
        <f t="shared" si="11"/>
        <v>0</v>
      </c>
      <c r="AJ17" s="94">
        <v>0</v>
      </c>
      <c r="AK17" s="99">
        <f t="shared" si="12"/>
        <v>0.0011749999999999998</v>
      </c>
      <c r="AL17" s="99">
        <f t="shared" si="13"/>
        <v>0.0027777777777777783</v>
      </c>
      <c r="AM17" s="100">
        <f t="shared" si="14"/>
        <v>0.03228715277777794</v>
      </c>
      <c r="AN17" s="101">
        <f t="shared" si="15"/>
        <v>0.03623993055555572</v>
      </c>
      <c r="AO17" s="102">
        <f>52*60+11.1</f>
        <v>3131.1</v>
      </c>
      <c r="AP17" s="105">
        <v>9</v>
      </c>
    </row>
    <row r="18" spans="1:42" ht="24.75" customHeight="1">
      <c r="A18" s="91">
        <f t="shared" si="0"/>
        <v>7</v>
      </c>
      <c r="B18" s="92" t="str">
        <f t="shared" si="0"/>
        <v>Ivars Erdmanis/Aivars Erdmanis</v>
      </c>
      <c r="C18" s="93" t="str">
        <f t="shared" si="0"/>
        <v>Ford Focuss</v>
      </c>
      <c r="D18" s="93" t="str">
        <f t="shared" si="0"/>
        <v>2WD</v>
      </c>
      <c r="E18" s="94">
        <v>0</v>
      </c>
      <c r="F18" s="94">
        <v>0</v>
      </c>
      <c r="G18" s="95">
        <v>0.0005623842592592593</v>
      </c>
      <c r="H18" s="96">
        <v>0.517361111111111</v>
      </c>
      <c r="I18" s="97">
        <v>0.5244239583333333</v>
      </c>
      <c r="J18" s="98">
        <f t="shared" si="1"/>
        <v>0.0018723379629629333</v>
      </c>
      <c r="K18" s="94">
        <v>0</v>
      </c>
      <c r="L18" s="96">
        <v>0.5333333333333333</v>
      </c>
      <c r="M18" s="97">
        <v>0.5364335648148147</v>
      </c>
      <c r="N18" s="98">
        <f t="shared" si="2"/>
        <v>9.097222222220758E-05</v>
      </c>
      <c r="O18" s="96">
        <f t="shared" si="16"/>
        <v>0.5333333333333333</v>
      </c>
      <c r="P18" s="97">
        <v>0.539246412037037</v>
      </c>
      <c r="Q18" s="98">
        <f t="shared" si="3"/>
        <v>0.00017488425925926698</v>
      </c>
      <c r="R18" s="96">
        <f t="shared" si="4"/>
        <v>0.5333333333333333</v>
      </c>
      <c r="S18" s="97">
        <v>0.5451736111111111</v>
      </c>
      <c r="T18" s="98">
        <f t="shared" si="5"/>
        <v>0.00015046296296294948</v>
      </c>
      <c r="U18" s="96">
        <f t="shared" si="6"/>
        <v>0.5333333333333333</v>
      </c>
      <c r="V18" s="97">
        <v>0.5504861111111111</v>
      </c>
      <c r="W18" s="98">
        <f t="shared" si="7"/>
        <v>0.0015162037037037557</v>
      </c>
      <c r="X18" s="96">
        <f t="shared" si="8"/>
        <v>0.5333333333333333</v>
      </c>
      <c r="Y18" s="97">
        <v>0.5536574074074074</v>
      </c>
      <c r="Z18" s="98">
        <f t="shared" si="9"/>
        <v>0.0006365740740741366</v>
      </c>
      <c r="AA18" s="94">
        <v>0</v>
      </c>
      <c r="AB18" s="94">
        <v>0.0008101851851851852</v>
      </c>
      <c r="AC18" s="95">
        <v>0.0006349537037037037</v>
      </c>
      <c r="AD18" s="96">
        <v>0.5708333333333333</v>
      </c>
      <c r="AE18" s="97">
        <v>0.5766666666666667</v>
      </c>
      <c r="AF18" s="98">
        <f t="shared" si="10"/>
        <v>0.0012384259259259345</v>
      </c>
      <c r="AG18" s="96">
        <v>0</v>
      </c>
      <c r="AH18" s="97">
        <v>0</v>
      </c>
      <c r="AI18" s="98">
        <f t="shared" si="11"/>
        <v>0</v>
      </c>
      <c r="AJ18" s="94">
        <v>0</v>
      </c>
      <c r="AK18" s="99">
        <f t="shared" si="12"/>
        <v>0.001197337962962963</v>
      </c>
      <c r="AL18" s="99">
        <f t="shared" si="13"/>
        <v>0.0008101851851851852</v>
      </c>
      <c r="AM18" s="100">
        <f t="shared" si="14"/>
        <v>0.005679861111111184</v>
      </c>
      <c r="AN18" s="101">
        <f t="shared" si="15"/>
        <v>0.007687384259259333</v>
      </c>
      <c r="AO18" s="102">
        <f>13*60+4.2</f>
        <v>784.2</v>
      </c>
      <c r="AP18" s="105">
        <v>5</v>
      </c>
    </row>
    <row r="19" spans="1:42" ht="24.75" customHeight="1">
      <c r="A19" s="91">
        <f t="shared" si="0"/>
        <v>8</v>
      </c>
      <c r="B19" s="92" t="str">
        <f t="shared" si="0"/>
        <v>Agris Staņevičs / Aivars Velme</v>
      </c>
      <c r="C19" s="93" t="str">
        <f t="shared" si="0"/>
        <v>VAZ2103</v>
      </c>
      <c r="D19" s="93" t="str">
        <f t="shared" si="0"/>
        <v>2WD</v>
      </c>
      <c r="E19" s="94">
        <v>0</v>
      </c>
      <c r="F19" s="94">
        <v>0</v>
      </c>
      <c r="G19" s="95">
        <v>0.0004800925925925925</v>
      </c>
      <c r="H19" s="96">
        <v>0.5187499999999999</v>
      </c>
      <c r="I19" s="97">
        <v>0.5276620370370371</v>
      </c>
      <c r="J19" s="98">
        <f>IF(I19-(H19+$I$12)&lt;0,(I19-(H19+$I$12))*-1,I19-(H19+$I$12))</f>
        <v>2.3148148148077752E-05</v>
      </c>
      <c r="K19" s="94">
        <v>0</v>
      </c>
      <c r="L19" s="96">
        <v>0.5354166666666667</v>
      </c>
      <c r="M19" s="97">
        <v>0.5382743055555556</v>
      </c>
      <c r="N19" s="98">
        <f t="shared" si="2"/>
        <v>0.00015162037037030895</v>
      </c>
      <c r="O19" s="96">
        <f t="shared" si="16"/>
        <v>0.5354166666666667</v>
      </c>
      <c r="P19" s="97">
        <v>0.541425462962963</v>
      </c>
      <c r="Q19" s="98">
        <f t="shared" si="3"/>
        <v>7.916666666663019E-05</v>
      </c>
      <c r="R19" s="96">
        <f t="shared" si="4"/>
        <v>0.5354166666666667</v>
      </c>
      <c r="S19" s="97">
        <v>0.5469212962962963</v>
      </c>
      <c r="T19" s="98">
        <f t="shared" si="5"/>
        <v>0.00018518518518517713</v>
      </c>
      <c r="U19" s="96">
        <f t="shared" si="6"/>
        <v>0.5354166666666667</v>
      </c>
      <c r="V19" s="97">
        <v>0.5512268518518518</v>
      </c>
      <c r="W19" s="98">
        <f t="shared" si="7"/>
        <v>0.00017361111111113825</v>
      </c>
      <c r="X19" s="96">
        <f t="shared" si="8"/>
        <v>0.5354166666666667</v>
      </c>
      <c r="Y19" s="97">
        <v>0.5550115740740741</v>
      </c>
      <c r="Z19" s="98">
        <f t="shared" si="9"/>
        <v>9.259259259253305E-05</v>
      </c>
      <c r="AA19" s="94">
        <v>0</v>
      </c>
      <c r="AB19" s="94">
        <v>0</v>
      </c>
      <c r="AC19" s="95">
        <v>0.0005516203703703703</v>
      </c>
      <c r="AD19" s="96">
        <v>0.5680555555555555</v>
      </c>
      <c r="AE19" s="97">
        <v>0.5726736111111111</v>
      </c>
      <c r="AF19" s="98">
        <f t="shared" si="10"/>
        <v>2.3148148148188774E-05</v>
      </c>
      <c r="AG19" s="96">
        <v>0</v>
      </c>
      <c r="AH19" s="97">
        <v>0</v>
      </c>
      <c r="AI19" s="98">
        <f t="shared" si="11"/>
        <v>0</v>
      </c>
      <c r="AJ19" s="94">
        <v>0</v>
      </c>
      <c r="AK19" s="99">
        <f t="shared" si="12"/>
        <v>0.0010317129629629628</v>
      </c>
      <c r="AL19" s="99">
        <f t="shared" si="13"/>
        <v>0</v>
      </c>
      <c r="AM19" s="100">
        <f t="shared" si="14"/>
        <v>0.0007284722222220541</v>
      </c>
      <c r="AN19" s="101">
        <f t="shared" si="15"/>
        <v>0.001760185185185017</v>
      </c>
      <c r="AO19" s="102">
        <f>2*60+31.7</f>
        <v>151.7</v>
      </c>
      <c r="AP19" s="105">
        <v>1</v>
      </c>
    </row>
    <row r="20" spans="1:42" ht="24.75" customHeight="1">
      <c r="A20" s="91">
        <f t="shared" si="0"/>
        <v>9</v>
      </c>
      <c r="B20" s="92" t="str">
        <f t="shared" si="0"/>
        <v>Nikolajs Krasņikovs/Edmunds Krasņikovs</v>
      </c>
      <c r="C20" s="93" t="str">
        <f t="shared" si="0"/>
        <v>Audi</v>
      </c>
      <c r="D20" s="93" t="str">
        <f t="shared" si="0"/>
        <v>4WD</v>
      </c>
      <c r="E20" s="94">
        <v>0</v>
      </c>
      <c r="F20" s="94">
        <v>0</v>
      </c>
      <c r="G20" s="95">
        <v>0.00045729166666666666</v>
      </c>
      <c r="H20" s="96">
        <v>0.5201388888888888</v>
      </c>
      <c r="I20" s="97">
        <v>0.5290524305555556</v>
      </c>
      <c r="J20" s="98">
        <f t="shared" si="1"/>
        <v>2.164351851841051E-05</v>
      </c>
      <c r="K20" s="94">
        <v>0</v>
      </c>
      <c r="L20" s="96">
        <v>0.5368055555555555</v>
      </c>
      <c r="M20" s="97">
        <v>0.5418434027777778</v>
      </c>
      <c r="N20" s="98">
        <f t="shared" si="2"/>
        <v>0.0020285879629630132</v>
      </c>
      <c r="O20" s="96">
        <f t="shared" si="16"/>
        <v>0.5368055555555555</v>
      </c>
      <c r="P20" s="97">
        <v>0.5445755787037038</v>
      </c>
      <c r="Q20" s="98">
        <f t="shared" si="3"/>
        <v>0.0016820601851852413</v>
      </c>
      <c r="R20" s="96">
        <f t="shared" si="4"/>
        <v>0.5368055555555555</v>
      </c>
      <c r="S20" s="97">
        <v>0.549074074074074</v>
      </c>
      <c r="T20" s="98">
        <f t="shared" si="5"/>
        <v>0.0005787037037037202</v>
      </c>
      <c r="U20" s="96">
        <f t="shared" si="6"/>
        <v>0.5368055555555555</v>
      </c>
      <c r="V20" s="97">
        <v>0.5540972222222222</v>
      </c>
      <c r="W20" s="98">
        <f t="shared" si="7"/>
        <v>0.0016550925925926663</v>
      </c>
      <c r="X20" s="96">
        <f t="shared" si="8"/>
        <v>0.5368055555555555</v>
      </c>
      <c r="Y20" s="97">
        <v>0.5576388888888889</v>
      </c>
      <c r="Z20" s="98">
        <f t="shared" si="9"/>
        <v>0.0011458333333334014</v>
      </c>
      <c r="AA20" s="94">
        <v>0</v>
      </c>
      <c r="AB20" s="94">
        <v>0</v>
      </c>
      <c r="AC20" s="95">
        <v>0.0005497685185185186</v>
      </c>
      <c r="AD20" s="96">
        <v>0.5694444444444444</v>
      </c>
      <c r="AE20" s="97">
        <v>0.5771296296296297</v>
      </c>
      <c r="AF20" s="98">
        <f t="shared" si="10"/>
        <v>0.0030902777777778168</v>
      </c>
      <c r="AG20" s="96">
        <v>0</v>
      </c>
      <c r="AH20" s="97">
        <v>0</v>
      </c>
      <c r="AI20" s="98">
        <f t="shared" si="11"/>
        <v>0</v>
      </c>
      <c r="AJ20" s="94">
        <v>0</v>
      </c>
      <c r="AK20" s="99">
        <f t="shared" si="12"/>
        <v>0.0010070601851851853</v>
      </c>
      <c r="AL20" s="99">
        <f t="shared" si="13"/>
        <v>0</v>
      </c>
      <c r="AM20" s="100">
        <f t="shared" si="14"/>
        <v>0.01020219907407427</v>
      </c>
      <c r="AN20" s="101">
        <f t="shared" si="15"/>
        <v>0.011209259259259455</v>
      </c>
      <c r="AO20" s="102">
        <f>16*60+8.5</f>
        <v>968.5</v>
      </c>
      <c r="AP20" s="106">
        <v>2</v>
      </c>
    </row>
    <row r="21" spans="1:42" ht="24.75" customHeight="1">
      <c r="A21" s="91">
        <f t="shared" si="0"/>
        <v>10</v>
      </c>
      <c r="B21" s="92" t="str">
        <f t="shared" si="0"/>
        <v>Kārlis Goldmanis/Harijs Goldmanis</v>
      </c>
      <c r="C21" s="93" t="str">
        <f t="shared" si="0"/>
        <v>VAZ2101</v>
      </c>
      <c r="D21" s="93" t="str">
        <f t="shared" si="0"/>
        <v>2WD</v>
      </c>
      <c r="E21" s="94">
        <v>0</v>
      </c>
      <c r="F21" s="94">
        <v>0</v>
      </c>
      <c r="G21" s="95">
        <v>0.0005649305555555556</v>
      </c>
      <c r="H21" s="96">
        <v>0.5215277777777778</v>
      </c>
      <c r="I21" s="97">
        <v>0.5192476851851852</v>
      </c>
      <c r="J21" s="98">
        <f t="shared" si="1"/>
        <v>0.011215277777777866</v>
      </c>
      <c r="K21" s="94">
        <v>0.0009259259259259259</v>
      </c>
      <c r="L21" s="96">
        <v>0.5437500000000001</v>
      </c>
      <c r="M21" s="97">
        <v>0.5467606481481482</v>
      </c>
      <c r="N21" s="98">
        <f t="shared" si="2"/>
        <v>1.3888888888979878E-06</v>
      </c>
      <c r="O21" s="96">
        <f t="shared" si="16"/>
        <v>0.5437500000000001</v>
      </c>
      <c r="P21" s="97">
        <v>0.5494944444444444</v>
      </c>
      <c r="Q21" s="98">
        <f t="shared" si="3"/>
        <v>0.00034351851851865955</v>
      </c>
      <c r="R21" s="96">
        <f t="shared" si="4"/>
        <v>0.5437500000000001</v>
      </c>
      <c r="S21" s="97">
        <v>0.555625</v>
      </c>
      <c r="T21" s="98">
        <f t="shared" si="5"/>
        <v>0.00018518518518517713</v>
      </c>
      <c r="U21" s="96">
        <f t="shared" si="6"/>
        <v>0.5437500000000001</v>
      </c>
      <c r="V21" s="97">
        <v>0.548275462962963</v>
      </c>
      <c r="W21" s="98">
        <f t="shared" si="7"/>
        <v>0.011111111111111072</v>
      </c>
      <c r="X21" s="96">
        <f t="shared" si="8"/>
        <v>0.5437500000000001</v>
      </c>
      <c r="Y21" s="97">
        <v>0.5482291666666667</v>
      </c>
      <c r="Z21" s="98">
        <f t="shared" si="9"/>
        <v>0.01520833333333338</v>
      </c>
      <c r="AA21" s="94">
        <v>0.0004629629629629629</v>
      </c>
      <c r="AB21" s="94">
        <v>0.00034722222222222224</v>
      </c>
      <c r="AC21" s="95">
        <v>0.0006646990740740741</v>
      </c>
      <c r="AD21" s="96">
        <v>0.5618055555555556</v>
      </c>
      <c r="AE21" s="97">
        <v>0.566238425925926</v>
      </c>
      <c r="AF21" s="98">
        <f t="shared" si="10"/>
        <v>0.00016203703703698835</v>
      </c>
      <c r="AG21" s="96">
        <v>0</v>
      </c>
      <c r="AH21" s="97">
        <v>0</v>
      </c>
      <c r="AI21" s="98">
        <f t="shared" si="11"/>
        <v>0</v>
      </c>
      <c r="AJ21" s="94">
        <v>0</v>
      </c>
      <c r="AK21" s="99">
        <f t="shared" si="12"/>
        <v>0.0012296296296296296</v>
      </c>
      <c r="AL21" s="99">
        <f t="shared" si="13"/>
        <v>0.001736111111111111</v>
      </c>
      <c r="AM21" s="100">
        <f t="shared" si="14"/>
        <v>0.03822685185185204</v>
      </c>
      <c r="AN21" s="101">
        <f t="shared" si="15"/>
        <v>0.04119259259259278</v>
      </c>
      <c r="AO21" s="102"/>
      <c r="AP21" s="105" t="s">
        <v>75</v>
      </c>
    </row>
    <row r="22" spans="1:42" ht="24.75" customHeight="1">
      <c r="A22" s="91">
        <f t="shared" si="0"/>
        <v>11</v>
      </c>
      <c r="B22" s="92" t="str">
        <f t="shared" si="0"/>
        <v>Dainis Ģēģers / Kārlis Ošs</v>
      </c>
      <c r="C22" s="93" t="str">
        <f t="shared" si="0"/>
        <v>Honda Civick</v>
      </c>
      <c r="D22" s="93" t="str">
        <f t="shared" si="0"/>
        <v>2WD</v>
      </c>
      <c r="E22" s="94">
        <v>0</v>
      </c>
      <c r="F22" s="94">
        <v>0</v>
      </c>
      <c r="G22" s="95">
        <v>0.0005027777777777778</v>
      </c>
      <c r="H22" s="96">
        <v>0.5229166666666667</v>
      </c>
      <c r="I22" s="97">
        <v>0.5318379629629629</v>
      </c>
      <c r="J22" s="98">
        <f t="shared" si="1"/>
        <v>1.3888888888979878E-05</v>
      </c>
      <c r="K22" s="94">
        <v>0</v>
      </c>
      <c r="L22" s="96">
        <v>0.5388888888888889</v>
      </c>
      <c r="M22" s="97">
        <v>0.5423107638888889</v>
      </c>
      <c r="N22" s="98">
        <f t="shared" si="2"/>
        <v>0.0004126157407408071</v>
      </c>
      <c r="O22" s="96">
        <f t="shared" si="16"/>
        <v>0.5388888888888889</v>
      </c>
      <c r="P22" s="97">
        <v>0.5473097222222222</v>
      </c>
      <c r="Q22" s="98">
        <f t="shared" si="3"/>
        <v>0.0023328703703703324</v>
      </c>
      <c r="R22" s="96">
        <f t="shared" si="4"/>
        <v>0.5388888888888889</v>
      </c>
      <c r="S22" s="97">
        <v>0.5504282407407407</v>
      </c>
      <c r="T22" s="98">
        <f t="shared" si="5"/>
        <v>0.00015046296296294948</v>
      </c>
      <c r="U22" s="96">
        <f t="shared" si="6"/>
        <v>0.5388888888888889</v>
      </c>
      <c r="V22" s="97">
        <v>0.5558564814814815</v>
      </c>
      <c r="W22" s="98">
        <f t="shared" si="7"/>
        <v>0.0013310185185185786</v>
      </c>
      <c r="X22" s="96">
        <f t="shared" si="8"/>
        <v>0.5388888888888889</v>
      </c>
      <c r="Y22" s="97">
        <v>0.5596412037037037</v>
      </c>
      <c r="Z22" s="98">
        <f t="shared" si="9"/>
        <v>0.0010648148148149073</v>
      </c>
      <c r="AA22" s="94">
        <v>0</v>
      </c>
      <c r="AB22" s="94">
        <v>0</v>
      </c>
      <c r="AC22" s="95">
        <v>0.0005785879629629629</v>
      </c>
      <c r="AD22" s="96">
        <v>0.5736111111111112</v>
      </c>
      <c r="AE22" s="97">
        <v>0.5798726851851852</v>
      </c>
      <c r="AF22" s="98">
        <f t="shared" si="10"/>
        <v>0.0016666666666665941</v>
      </c>
      <c r="AG22" s="96">
        <v>0</v>
      </c>
      <c r="AH22" s="97">
        <v>0</v>
      </c>
      <c r="AI22" s="98">
        <f t="shared" si="11"/>
        <v>0</v>
      </c>
      <c r="AJ22" s="94">
        <v>0</v>
      </c>
      <c r="AK22" s="99">
        <f t="shared" si="12"/>
        <v>0.0010813657407407408</v>
      </c>
      <c r="AL22" s="99">
        <f t="shared" si="13"/>
        <v>0</v>
      </c>
      <c r="AM22" s="100">
        <f t="shared" si="14"/>
        <v>0.006972337962963149</v>
      </c>
      <c r="AN22" s="101">
        <f t="shared" si="15"/>
        <v>0.00805370370370389</v>
      </c>
      <c r="AO22" s="102">
        <f>11*60+35.8</f>
        <v>695.8</v>
      </c>
      <c r="AP22" s="105">
        <v>3</v>
      </c>
    </row>
    <row r="23" spans="1:42" ht="24.75" customHeight="1">
      <c r="A23" s="93">
        <f t="shared" si="0"/>
        <v>12</v>
      </c>
      <c r="B23" s="92" t="str">
        <f t="shared" si="0"/>
        <v>Jānis Vilks/ Ralfs Piziks</v>
      </c>
      <c r="C23" s="93" t="str">
        <f t="shared" si="0"/>
        <v>Opel astra </v>
      </c>
      <c r="D23" s="93" t="str">
        <f t="shared" si="0"/>
        <v>2WD</v>
      </c>
      <c r="E23" s="94">
        <v>0</v>
      </c>
      <c r="F23" s="94">
        <v>0</v>
      </c>
      <c r="G23" s="95">
        <v>0.0005347222222222222</v>
      </c>
      <c r="H23" s="96">
        <v>0.5187499999999999</v>
      </c>
      <c r="I23" s="97">
        <v>0.5192476851851852</v>
      </c>
      <c r="J23" s="98">
        <f t="shared" si="1"/>
        <v>0.008437499999999987</v>
      </c>
      <c r="K23" s="94">
        <v>0</v>
      </c>
      <c r="L23" s="96">
        <v>0.5284722222222222</v>
      </c>
      <c r="M23" s="97">
        <v>0.5418434027777778</v>
      </c>
      <c r="N23" s="98">
        <f t="shared" si="2"/>
        <v>0.010361921296296317</v>
      </c>
      <c r="O23" s="96">
        <f t="shared" si="16"/>
        <v>0.5284722222222222</v>
      </c>
      <c r="P23" s="97">
        <v>0.5445755787037038</v>
      </c>
      <c r="Q23" s="98">
        <f t="shared" si="3"/>
        <v>0.010015393518518545</v>
      </c>
      <c r="R23" s="96">
        <f t="shared" si="4"/>
        <v>0.5284722222222222</v>
      </c>
      <c r="S23" s="97">
        <v>0.5818402777777778</v>
      </c>
      <c r="T23" s="98">
        <f t="shared" si="5"/>
        <v>0.04167824074074078</v>
      </c>
      <c r="U23" s="96">
        <f t="shared" si="6"/>
        <v>0.5284722222222222</v>
      </c>
      <c r="V23" s="97">
        <v>0.548275462962963</v>
      </c>
      <c r="W23" s="98">
        <f t="shared" si="7"/>
        <v>0.004166666666666763</v>
      </c>
      <c r="X23" s="96">
        <f t="shared" si="8"/>
        <v>0.5284722222222222</v>
      </c>
      <c r="Y23" s="97">
        <v>0.5482291666666667</v>
      </c>
      <c r="Z23" s="98">
        <f t="shared" si="9"/>
        <v>6.94444444444553E-05</v>
      </c>
      <c r="AA23" s="94">
        <v>0</v>
      </c>
      <c r="AB23" s="94">
        <v>0</v>
      </c>
      <c r="AC23" s="95">
        <v>0</v>
      </c>
      <c r="AD23" s="96">
        <v>0.5618055555555556</v>
      </c>
      <c r="AE23" s="97">
        <v>0.566238425925926</v>
      </c>
      <c r="AF23" s="98">
        <f t="shared" si="10"/>
        <v>0.00016203703703698835</v>
      </c>
      <c r="AG23" s="96">
        <v>0</v>
      </c>
      <c r="AH23" s="97">
        <v>0</v>
      </c>
      <c r="AI23" s="98">
        <f t="shared" si="11"/>
        <v>0</v>
      </c>
      <c r="AJ23" s="94">
        <v>0</v>
      </c>
      <c r="AK23" s="99">
        <f t="shared" si="12"/>
        <v>0.0005347222222222222</v>
      </c>
      <c r="AL23" s="99">
        <f t="shared" si="13"/>
        <v>0</v>
      </c>
      <c r="AM23" s="100">
        <f t="shared" si="14"/>
        <v>0.07489120370370383</v>
      </c>
      <c r="AN23" s="101">
        <f t="shared" si="15"/>
        <v>0.07542592592592606</v>
      </c>
      <c r="AO23" s="102"/>
      <c r="AP23" s="105" t="s">
        <v>75</v>
      </c>
    </row>
    <row r="24" spans="1:42" ht="24.75" customHeight="1">
      <c r="A24" s="91">
        <f t="shared" si="0"/>
        <v>13</v>
      </c>
      <c r="B24" s="92" t="str">
        <f t="shared" si="0"/>
        <v>Modris Svilis /Tālis Aldiņš</v>
      </c>
      <c r="C24" s="93" t="str">
        <f t="shared" si="0"/>
        <v>Mitsubishi EVO8</v>
      </c>
      <c r="D24" s="93" t="str">
        <f t="shared" si="0"/>
        <v>4WD</v>
      </c>
      <c r="E24" s="94">
        <v>0</v>
      </c>
      <c r="F24" s="94">
        <v>0</v>
      </c>
      <c r="G24" s="95">
        <v>0.0004454861111111111</v>
      </c>
      <c r="H24" s="96">
        <v>0.5256944444444445</v>
      </c>
      <c r="I24" s="97">
        <v>0.5346296296296297</v>
      </c>
      <c r="J24" s="98">
        <f t="shared" si="1"/>
        <v>0</v>
      </c>
      <c r="K24" s="94">
        <v>0</v>
      </c>
      <c r="L24" s="96">
        <v>0.5416666666666666</v>
      </c>
      <c r="M24" s="97">
        <v>0.5453488425925926</v>
      </c>
      <c r="N24" s="98">
        <f t="shared" si="2"/>
        <v>0.0006729166666668007</v>
      </c>
      <c r="O24" s="96">
        <f t="shared" si="16"/>
        <v>0.5416666666666666</v>
      </c>
      <c r="P24" s="97">
        <v>0.5472943287037036</v>
      </c>
      <c r="Q24" s="98">
        <f t="shared" si="3"/>
        <v>0.0004603009259259716</v>
      </c>
      <c r="R24" s="96">
        <f t="shared" si="4"/>
        <v>0.5416666666666666</v>
      </c>
      <c r="S24" s="97">
        <v>0.5537847222222222</v>
      </c>
      <c r="T24" s="98">
        <f t="shared" si="5"/>
        <v>0.0004282407407407707</v>
      </c>
      <c r="U24" s="96">
        <f t="shared" si="6"/>
        <v>0.5416666666666666</v>
      </c>
      <c r="V24" s="97">
        <v>0.5467708333333333</v>
      </c>
      <c r="W24" s="98">
        <f t="shared" si="7"/>
        <v>0.010532407407407351</v>
      </c>
      <c r="X24" s="96">
        <f t="shared" si="8"/>
        <v>0.5416666666666666</v>
      </c>
      <c r="Y24" s="97">
        <v>0.5631597222222222</v>
      </c>
      <c r="Z24" s="98">
        <f t="shared" si="9"/>
        <v>0.0018055555555556158</v>
      </c>
      <c r="AA24" s="94">
        <v>0</v>
      </c>
      <c r="AB24" s="94">
        <v>0</v>
      </c>
      <c r="AC24" s="95">
        <v>0.0005218750000000001</v>
      </c>
      <c r="AD24" s="96">
        <v>0.5750000000000001</v>
      </c>
      <c r="AE24" s="97">
        <v>0.5889583333333334</v>
      </c>
      <c r="AF24" s="98">
        <f t="shared" si="10"/>
        <v>0.009363425925925872</v>
      </c>
      <c r="AG24" s="96">
        <v>0</v>
      </c>
      <c r="AH24" s="97">
        <v>0</v>
      </c>
      <c r="AI24" s="98">
        <f t="shared" si="11"/>
        <v>0</v>
      </c>
      <c r="AJ24" s="94">
        <v>0</v>
      </c>
      <c r="AK24" s="99">
        <f t="shared" si="12"/>
        <v>0.0009673611111111112</v>
      </c>
      <c r="AL24" s="99">
        <f t="shared" si="13"/>
        <v>0</v>
      </c>
      <c r="AM24" s="100">
        <f t="shared" si="14"/>
        <v>0.023262847222222383</v>
      </c>
      <c r="AN24" s="101">
        <f t="shared" si="15"/>
        <v>0.024230208333333492</v>
      </c>
      <c r="AO24" s="102">
        <f>34*60+53.5</f>
        <v>2093.5</v>
      </c>
      <c r="AP24" s="106">
        <v>3</v>
      </c>
    </row>
    <row r="25" spans="1:42" ht="24.75" customHeight="1">
      <c r="A25" s="91">
        <f t="shared" si="0"/>
        <v>14</v>
      </c>
      <c r="B25" s="92" t="str">
        <f t="shared" si="0"/>
        <v>Artūrs Deikovskis/Andris Lipša</v>
      </c>
      <c r="C25" s="93" t="str">
        <f t="shared" si="0"/>
        <v>Audi 80</v>
      </c>
      <c r="D25" s="93" t="str">
        <f t="shared" si="0"/>
        <v>4WD</v>
      </c>
      <c r="E25" s="94">
        <v>0</v>
      </c>
      <c r="F25" s="94">
        <v>0</v>
      </c>
      <c r="G25" s="95">
        <v>0.0005046296296296296</v>
      </c>
      <c r="H25" s="96">
        <v>0.5270833333333333</v>
      </c>
      <c r="I25" s="97">
        <v>0.5354005787037037</v>
      </c>
      <c r="J25" s="98">
        <f>IF(I25-(H25+$I$12)&lt;0,(I25-(H25+$I$12))*-1,I25-(H25+$I$12))</f>
        <v>0.0006179398148148385</v>
      </c>
      <c r="K25" s="94">
        <v>0</v>
      </c>
      <c r="L25" s="96">
        <v>0.5458333333333333</v>
      </c>
      <c r="M25" s="97">
        <v>0.5493128472222223</v>
      </c>
      <c r="N25" s="98">
        <f>IF(M25-(L25+$M$12)&lt;0,(M25-(L25+$M$12))*-1,M25-(L25+$M$12))</f>
        <v>0.00047025462962979603</v>
      </c>
      <c r="O25" s="96">
        <f>L25</f>
        <v>0.5458333333333333</v>
      </c>
      <c r="P25" s="97">
        <v>0.5524537037037037</v>
      </c>
      <c r="Q25" s="98">
        <f>IF(P25-(O25+$P$12)&lt;0,(P25-(O25+$P$12))*-1,P25-(O25+$P$12))</f>
        <v>0.0005324074074074536</v>
      </c>
      <c r="R25" s="96">
        <f>L25</f>
        <v>0.5458333333333333</v>
      </c>
      <c r="S25" s="97">
        <v>0.5576157407407407</v>
      </c>
      <c r="T25" s="98">
        <f>IF(S25-(R25+$S$12)&lt;0,(S25-(R25+$S$12))*-1,S25-(R25+$S$12))</f>
        <v>9.259259259264407E-05</v>
      </c>
      <c r="U25" s="96">
        <f>R25</f>
        <v>0.5458333333333333</v>
      </c>
      <c r="V25" s="97">
        <v>0.563136574074074</v>
      </c>
      <c r="W25" s="98">
        <f>IF(V25-(U25+$V$12)&lt;0,(V25-(U25+$V$12))*-1,V25-(U25+$V$12))</f>
        <v>0.0016666666666667052</v>
      </c>
      <c r="X25" s="96">
        <f>U25</f>
        <v>0.5458333333333333</v>
      </c>
      <c r="Y25" s="97">
        <v>0.5665277777777777</v>
      </c>
      <c r="Z25" s="98">
        <f>IF(Y25-(X25+$Y$12)&lt;0,(Y25-(X25+$Y$12))*-1,Y25-(X25+$Y$12))</f>
        <v>0.0010069444444444908</v>
      </c>
      <c r="AA25" s="94">
        <v>0.00011574074074074073</v>
      </c>
      <c r="AB25" s="94">
        <v>0</v>
      </c>
      <c r="AC25" s="95">
        <v>0.0005700231481481482</v>
      </c>
      <c r="AD25" s="96">
        <v>0.5791666666666667</v>
      </c>
      <c r="AE25" s="97">
        <v>0.5845717592592593</v>
      </c>
      <c r="AF25" s="98">
        <f>IF(AE25-(AD25+$AE$12)&lt;0,(AE25-(AD25+$AE$12))*-1,AE25-(AD25+$AE$12))</f>
        <v>0.0008101851851851638</v>
      </c>
      <c r="AG25" s="96">
        <v>0</v>
      </c>
      <c r="AH25" s="97">
        <v>0</v>
      </c>
      <c r="AI25" s="98">
        <f>IF(AH25-(AG25+$AH$12)&lt;0,(AH25-(AG25+$AH$12))*-1,AH25-(AG25+$AH$12))</f>
        <v>0</v>
      </c>
      <c r="AJ25" s="94">
        <v>0</v>
      </c>
      <c r="AK25" s="99">
        <f>SUM(G25,AC25)</f>
        <v>0.0010746527777777777</v>
      </c>
      <c r="AL25" s="99">
        <f>SUM(E25,K25,AA25,AB25,AJ25)</f>
        <v>0.00011574074074074073</v>
      </c>
      <c r="AM25" s="100">
        <f>SUM(J25,N25,Q25,T25,W25,Z25,AF25,AI25)</f>
        <v>0.005196990740741092</v>
      </c>
      <c r="AN25" s="101">
        <f>SUM(AK25:AM25)</f>
        <v>0.006387384259259611</v>
      </c>
      <c r="AO25" s="102">
        <f>9*60+11.9</f>
        <v>551.9</v>
      </c>
      <c r="AP25" s="106">
        <v>1</v>
      </c>
    </row>
    <row r="26" spans="1:42" ht="24.75" customHeight="1">
      <c r="A26" s="91">
        <f t="shared" si="0"/>
        <v>15</v>
      </c>
      <c r="B26" s="92" t="str">
        <f t="shared" si="0"/>
        <v>Vents Trapāns/Juris Dambis</v>
      </c>
      <c r="C26" s="93" t="str">
        <f t="shared" si="0"/>
        <v>VW Passat</v>
      </c>
      <c r="D26" s="93" t="str">
        <f t="shared" si="0"/>
        <v>2WD</v>
      </c>
      <c r="E26" s="94">
        <v>0</v>
      </c>
      <c r="F26" s="94">
        <v>0</v>
      </c>
      <c r="G26" s="95">
        <v>0.0005734953703703704</v>
      </c>
      <c r="H26" s="96">
        <v>0.5284722222222222</v>
      </c>
      <c r="I26" s="97">
        <v>0.5353388888888889</v>
      </c>
      <c r="J26" s="98">
        <f>IF(I26-(H26+$I$12)&lt;0,(I26-(H26+$I$12))*-1,I26-(H26+$I$12))</f>
        <v>0.002068518518518525</v>
      </c>
      <c r="K26" s="94">
        <v>0</v>
      </c>
      <c r="L26" s="96">
        <v>0.5493055555555556</v>
      </c>
      <c r="M26" s="97">
        <v>0.5531957175925926</v>
      </c>
      <c r="N26" s="98">
        <f>IF(M26-(L26+$M$12)&lt;0,(M26-(L26+$M$12))*-1,M26-(L26+$M$12))</f>
        <v>0.0008809027777777478</v>
      </c>
      <c r="O26" s="96">
        <f>L26</f>
        <v>0.5493055555555556</v>
      </c>
      <c r="P26" s="97">
        <v>0.5554440972222222</v>
      </c>
      <c r="Q26" s="98">
        <f>IF(P26-(O26+$P$12)&lt;0,(P26-(O26+$P$12))*-1,P26-(O26+$P$12))</f>
        <v>5.057870370361872E-05</v>
      </c>
      <c r="R26" s="96">
        <f>L26</f>
        <v>0.5493055555555556</v>
      </c>
      <c r="S26" s="97">
        <v>0.5622800925925926</v>
      </c>
      <c r="T26" s="98">
        <f>IF(S26-(R26+$S$12)&lt;0,(S26-(R26+$S$12))*-1,S26-(R26+$S$12))</f>
        <v>0.001284722222222201</v>
      </c>
      <c r="U26" s="96">
        <f>R26</f>
        <v>0.5493055555555556</v>
      </c>
      <c r="V26" s="97">
        <v>0.5657986111111112</v>
      </c>
      <c r="W26" s="98">
        <f>IF(V26-(U26+$V$12)&lt;0,(V26-(U26+$V$12))*-1,V26-(U26+$V$12))</f>
        <v>0.0008564814814815414</v>
      </c>
      <c r="X26" s="96">
        <f>U26</f>
        <v>0.5493055555555556</v>
      </c>
      <c r="Y26" s="97">
        <v>0.5699652777777778</v>
      </c>
      <c r="Z26" s="98">
        <f>IF(Y26-(X26+$Y$12)&lt;0,(Y26-(X26+$Y$12))*-1,Y26-(X26+$Y$12))</f>
        <v>0.0009722222222222632</v>
      </c>
      <c r="AA26" s="94">
        <v>0</v>
      </c>
      <c r="AB26" s="94">
        <v>0.0006944444444444445</v>
      </c>
      <c r="AC26" s="95">
        <v>0.0006293981481481481</v>
      </c>
      <c r="AD26" s="96">
        <v>0.5826388888888888</v>
      </c>
      <c r="AE26" s="97">
        <v>0.5800578703703704</v>
      </c>
      <c r="AF26" s="98">
        <f>IF(AE26-(AD26+$AE$12)&lt;0,(AE26-(AD26+$AE$12))*-1,AE26-(AD26+$AE$12))</f>
        <v>0.007175925925925863</v>
      </c>
      <c r="AG26" s="96">
        <v>0</v>
      </c>
      <c r="AH26" s="97">
        <v>0</v>
      </c>
      <c r="AI26" s="98">
        <f>IF(AH26-(AG26+$AH$12)&lt;0,(AH26-(AG26+$AH$12))*-1,AH26-(AG26+$AH$12))</f>
        <v>0</v>
      </c>
      <c r="AJ26" s="94">
        <v>0</v>
      </c>
      <c r="AK26" s="99">
        <f>SUM(G26,AC26)</f>
        <v>0.0012028935185185185</v>
      </c>
      <c r="AL26" s="99">
        <f>SUM(E26,K26,AA26,AB26,AJ26)</f>
        <v>0.0006944444444444445</v>
      </c>
      <c r="AM26" s="100">
        <f>SUM(J26,N26,Q26,T26,W26,Z26,AF26,AI26)</f>
        <v>0.01328935185185176</v>
      </c>
      <c r="AN26" s="101">
        <f>SUM(AK26:AM26)</f>
        <v>0.015186689814814722</v>
      </c>
      <c r="AO26" s="102">
        <f>21*60+52.1</f>
        <v>1312.1</v>
      </c>
      <c r="AP26" s="107">
        <v>8</v>
      </c>
    </row>
    <row r="27" spans="1:42" ht="24.75" customHeight="1">
      <c r="A27" s="91">
        <f t="shared" si="0"/>
        <v>17</v>
      </c>
      <c r="B27" s="92" t="str">
        <f t="shared" si="0"/>
        <v>Valters Rudzītis/ Ervīns Lembergs</v>
      </c>
      <c r="C27" s="93" t="str">
        <f t="shared" si="0"/>
        <v>BMW 316</v>
      </c>
      <c r="D27" s="93" t="str">
        <f t="shared" si="0"/>
        <v>2WD</v>
      </c>
      <c r="E27" s="94">
        <v>0</v>
      </c>
      <c r="F27" s="94">
        <v>0.0006944444444444445</v>
      </c>
      <c r="G27" s="95">
        <v>0.0005135416666666666</v>
      </c>
      <c r="H27" s="96">
        <v>0.5319444444444444</v>
      </c>
      <c r="I27" s="97">
        <v>0.5381896990740741</v>
      </c>
      <c r="J27" s="98">
        <f>IF(I27-(H27+$I$12)&lt;0,(I27-(H27+$I$12))*-1,I27-(H27+$I$12))</f>
        <v>0.002689930555555553</v>
      </c>
      <c r="K27" s="94">
        <v>0.0020833333333333333</v>
      </c>
      <c r="L27" s="96">
        <v>0.5513888888888888</v>
      </c>
      <c r="M27" s="97">
        <v>0.5558035879629629</v>
      </c>
      <c r="N27" s="98">
        <f>IF(M27-(L27+$M$12)&lt;0,(M27-(L27+$M$12))*-1,M27-(L27+$M$12))</f>
        <v>0.0014054398148148906</v>
      </c>
      <c r="O27" s="96">
        <f>L27</f>
        <v>0.5513888888888888</v>
      </c>
      <c r="P27" s="97">
        <v>0.5587634259259259</v>
      </c>
      <c r="Q27" s="98">
        <f>IF(P27-(O27+$P$12)&lt;0,(P27-(O27+$P$12))*-1,P27-(O27+$P$12))</f>
        <v>0.001286574074074065</v>
      </c>
      <c r="R27" s="96">
        <f>L27</f>
        <v>0.5513888888888888</v>
      </c>
      <c r="S27" s="97">
        <v>0.5630902777777778</v>
      </c>
      <c r="T27" s="98">
        <f>IF(S27-(R27+$S$12)&lt;0,(S27-(R27+$S$12))*-1,S27-(R27+$S$12))</f>
        <v>1.1574074074149898E-05</v>
      </c>
      <c r="U27" s="96">
        <f>R27</f>
        <v>0.5513888888888888</v>
      </c>
      <c r="V27" s="97">
        <v>0.568587962962963</v>
      </c>
      <c r="W27" s="98">
        <f>IF(V27-(U27+$V$12)&lt;0,(V27-(U27+$V$12))*-1,V27-(U27+$V$12))</f>
        <v>0.0015625000000001332</v>
      </c>
      <c r="X27" s="96">
        <f>U27</f>
        <v>0.5513888888888888</v>
      </c>
      <c r="Y27" s="97">
        <v>0.5718981481481481</v>
      </c>
      <c r="Z27" s="98">
        <f>IF(Y27-(X27+$Y$12)&lt;0,(Y27-(X27+$Y$12))*-1,Y27-(X27+$Y$12))</f>
        <v>0.0008217592592593137</v>
      </c>
      <c r="AA27" s="94">
        <v>0.00023148148148148146</v>
      </c>
      <c r="AB27" s="94">
        <v>0.00023148148148148146</v>
      </c>
      <c r="AC27" s="95">
        <v>0.0006343750000000001</v>
      </c>
      <c r="AD27" s="96">
        <v>0.5854166666666667</v>
      </c>
      <c r="AE27" s="97">
        <v>0.5897337962962963</v>
      </c>
      <c r="AF27" s="98">
        <f>IF(AE27-(AD27+$AE$12)&lt;0,(AE27-(AD27+$AE$12))*-1,AE27-(AD27+$AE$12))</f>
        <v>0.0002777777777778212</v>
      </c>
      <c r="AG27" s="96">
        <v>0</v>
      </c>
      <c r="AH27" s="97">
        <v>0</v>
      </c>
      <c r="AI27" s="98">
        <f>IF(AH27-(AG27+$AH$12)&lt;0,(AH27-(AG27+$AH$12))*-1,AH27-(AG27+$AH$12))</f>
        <v>0</v>
      </c>
      <c r="AJ27" s="94">
        <v>0</v>
      </c>
      <c r="AK27" s="99">
        <f>SUM(G27,AC27)</f>
        <v>0.0011479166666666667</v>
      </c>
      <c r="AL27" s="99">
        <f>SUM(E27,K27,AA27,AB27,AJ27)</f>
        <v>0.002546296296296296</v>
      </c>
      <c r="AM27" s="100">
        <f>SUM(J27,N27,Q27,T27,W27,Z27,AF27,AI27)</f>
        <v>0.008055555555555927</v>
      </c>
      <c r="AN27" s="101">
        <f>SUM(AK27:AM27)</f>
        <v>0.01174976851851889</v>
      </c>
      <c r="AO27" s="102">
        <f>16*60+55.2</f>
        <v>1015.2</v>
      </c>
      <c r="AP27" s="93">
        <v>7</v>
      </c>
    </row>
    <row r="28" spans="1:42" ht="24.75" customHeight="1">
      <c r="A28" s="91">
        <f t="shared" si="0"/>
        <v>22</v>
      </c>
      <c r="B28" s="92" t="str">
        <f t="shared" si="0"/>
        <v>Andris Kalniņš/Valts Veits</v>
      </c>
      <c r="C28" s="93" t="str">
        <f t="shared" si="0"/>
        <v>VW Golf</v>
      </c>
      <c r="D28" s="93" t="str">
        <f t="shared" si="0"/>
        <v>2WD</v>
      </c>
      <c r="E28" s="94">
        <v>0</v>
      </c>
      <c r="F28" s="94">
        <v>0</v>
      </c>
      <c r="G28" s="95">
        <v>0.0005890046296296295</v>
      </c>
      <c r="H28" s="96">
        <v>0.5298611111111111</v>
      </c>
      <c r="I28" s="97">
        <v>0.5378631944444444</v>
      </c>
      <c r="J28" s="98">
        <f>IF(I28-(H28+$I$12)&lt;0,(I28-(H28+$I$12))*-1,I28-(H28+$I$12))</f>
        <v>0.0009331018518519141</v>
      </c>
      <c r="K28" s="94">
        <v>0.0020833333333333333</v>
      </c>
      <c r="L28" s="96">
        <v>0.5479166666666667</v>
      </c>
      <c r="M28" s="97">
        <v>0.5516986111111112</v>
      </c>
      <c r="N28" s="98">
        <f>IF(M28-(L28+$M$12)&lt;0,(M28-(L28+$M$12))*-1,M28-(L28+$M$12))</f>
        <v>0.0007726851851852512</v>
      </c>
      <c r="O28" s="96">
        <f>L28</f>
        <v>0.5479166666666667</v>
      </c>
      <c r="P28" s="97">
        <v>0.5544351851851852</v>
      </c>
      <c r="Q28" s="98">
        <f>IF(P28-(O28+$P$12)&lt;0,(P28-(O28+$P$12))*-1,P28-(O28+$P$12))</f>
        <v>0.00043055555555548963</v>
      </c>
      <c r="R28" s="96">
        <f>L28</f>
        <v>0.5479166666666667</v>
      </c>
      <c r="S28" s="97">
        <v>0.5589814814814814</v>
      </c>
      <c r="T28" s="98">
        <f>IF(S28-(R28+$S$12)&lt;0,(S28-(R28+$S$12))*-1,S28-(R28+$S$12))</f>
        <v>0.0006250000000000977</v>
      </c>
      <c r="U28" s="96">
        <f>R28</f>
        <v>0.5479166666666667</v>
      </c>
      <c r="V28" s="97">
        <v>0.5635532407407408</v>
      </c>
      <c r="W28" s="98">
        <f>IF(V28-(U28+$V$12)&lt;0,(V28-(U28+$V$12))*-1,V28-(U28+$V$12))</f>
        <v>0</v>
      </c>
      <c r="X28" s="96">
        <f>U28</f>
        <v>0.5479166666666667</v>
      </c>
      <c r="Y28" s="97">
        <v>0.5673148148148148</v>
      </c>
      <c r="Z28" s="98">
        <f>IF(Y28-(X28+$Y$12)&lt;0,(Y28-(X28+$Y$12))*-1,Y28-(X28+$Y$12))</f>
        <v>0.0002893518518518601</v>
      </c>
      <c r="AA28" s="94">
        <v>0</v>
      </c>
      <c r="AB28" s="94">
        <v>0.00011574074074074073</v>
      </c>
      <c r="AC28" s="95">
        <v>0.0006495370370370369</v>
      </c>
      <c r="AD28" s="96">
        <v>0.5812499999999999</v>
      </c>
      <c r="AE28" s="97">
        <v>0.5874421296296296</v>
      </c>
      <c r="AF28" s="98">
        <f>IF(AE28-(AD28+$AE$12)&lt;0,(AE28-(AD28+$AE$12))*-1,AE28-(AD28+$AE$12))</f>
        <v>0.0015972222222222499</v>
      </c>
      <c r="AG28" s="96">
        <v>0</v>
      </c>
      <c r="AH28" s="97">
        <v>0</v>
      </c>
      <c r="AI28" s="98">
        <f>IF(AH28-(AG28+$AH$12)&lt;0,(AH28-(AG28+$AH$12))*-1,AH28-(AG28+$AH$12))</f>
        <v>0</v>
      </c>
      <c r="AJ28" s="94">
        <v>0</v>
      </c>
      <c r="AK28" s="99">
        <f>SUM(G28,AC28)</f>
        <v>0.0012385416666666664</v>
      </c>
      <c r="AL28" s="99">
        <f>SUM(E28,K28,AA28,AB28,AJ28)</f>
        <v>0.002199074074074074</v>
      </c>
      <c r="AM28" s="100">
        <f>SUM(J28,N28,Q28,T28,W28,Z28,AF28,AI28)</f>
        <v>0.0046479166666668625</v>
      </c>
      <c r="AN28" s="101">
        <f>SUM(AK28:AM28)</f>
        <v>0.008085532407407604</v>
      </c>
      <c r="AO28" s="102">
        <f>11*60+38.6</f>
        <v>698.6</v>
      </c>
      <c r="AP28" s="93">
        <v>4</v>
      </c>
    </row>
    <row r="29" spans="1:41" s="116" customFormat="1" ht="24.75" customHeight="1">
      <c r="A29"/>
      <c r="B29" s="108"/>
      <c r="C29"/>
      <c r="D29"/>
      <c r="E29"/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111"/>
      <c r="AC29" s="112"/>
      <c r="AD29" s="110"/>
      <c r="AE29" s="110"/>
      <c r="AF29" s="110"/>
      <c r="AG29" s="110"/>
      <c r="AH29" s="110"/>
      <c r="AI29" s="110"/>
      <c r="AJ29" s="113"/>
      <c r="AK29" s="114"/>
      <c r="AL29" s="114"/>
      <c r="AM29" s="109"/>
      <c r="AN29" s="115"/>
      <c r="AO29" s="115"/>
    </row>
    <row r="30" spans="1:41" s="116" customFormat="1" ht="24.75" customHeight="1">
      <c r="A30"/>
      <c r="B30" s="108"/>
      <c r="C30"/>
      <c r="D30"/>
      <c r="E30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111"/>
      <c r="AC30" s="112"/>
      <c r="AD30" s="110"/>
      <c r="AE30" s="110"/>
      <c r="AF30" s="110"/>
      <c r="AG30" s="110"/>
      <c r="AH30" s="110"/>
      <c r="AI30" s="110"/>
      <c r="AJ30" s="113"/>
      <c r="AK30" s="114"/>
      <c r="AL30" s="114"/>
      <c r="AM30" s="109"/>
      <c r="AN30" s="115"/>
      <c r="AO30" s="115"/>
    </row>
    <row r="31" spans="1:41" s="116" customFormat="1" ht="24.75" customHeight="1">
      <c r="A31"/>
      <c r="B31" s="108"/>
      <c r="C31"/>
      <c r="D31"/>
      <c r="E31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111"/>
      <c r="AC31" s="112"/>
      <c r="AD31" s="110"/>
      <c r="AE31" s="110"/>
      <c r="AF31" s="110"/>
      <c r="AG31" s="110"/>
      <c r="AH31" s="110"/>
      <c r="AI31" s="110"/>
      <c r="AJ31" s="113"/>
      <c r="AK31" s="114"/>
      <c r="AL31" s="114"/>
      <c r="AM31" s="109"/>
      <c r="AN31" s="115"/>
      <c r="AO31" s="115"/>
    </row>
    <row r="32" spans="1:41" s="116" customFormat="1" ht="24.75" customHeight="1">
      <c r="A32"/>
      <c r="B32" s="108"/>
      <c r="C32"/>
      <c r="D32"/>
      <c r="E32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1"/>
      <c r="AB32" s="111"/>
      <c r="AC32" s="112"/>
      <c r="AD32" s="110"/>
      <c r="AE32" s="110"/>
      <c r="AF32" s="110"/>
      <c r="AG32" s="110"/>
      <c r="AH32" s="110"/>
      <c r="AI32" s="110"/>
      <c r="AJ32" s="113"/>
      <c r="AK32" s="114"/>
      <c r="AL32" s="114"/>
      <c r="AM32" s="109"/>
      <c r="AN32" s="115"/>
      <c r="AO32" s="115"/>
    </row>
    <row r="33" spans="1:41" s="116" customFormat="1" ht="24.75" customHeight="1">
      <c r="A33"/>
      <c r="B33" s="108"/>
      <c r="C33"/>
      <c r="D33"/>
      <c r="E33"/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1"/>
      <c r="AB33" s="111"/>
      <c r="AC33" s="112"/>
      <c r="AD33" s="110"/>
      <c r="AE33" s="110"/>
      <c r="AF33" s="110"/>
      <c r="AG33" s="110"/>
      <c r="AH33" s="110"/>
      <c r="AI33" s="110"/>
      <c r="AJ33" s="113"/>
      <c r="AK33" s="114"/>
      <c r="AL33" s="114"/>
      <c r="AM33" s="109"/>
      <c r="AN33" s="115"/>
      <c r="AO33" s="115"/>
    </row>
    <row r="34" spans="1:41" s="116" customFormat="1" ht="24.75" customHeight="1">
      <c r="A34"/>
      <c r="B34" s="108"/>
      <c r="C34"/>
      <c r="D34"/>
      <c r="E34"/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1"/>
      <c r="AB34" s="111"/>
      <c r="AC34" s="112"/>
      <c r="AD34" s="110"/>
      <c r="AE34" s="110"/>
      <c r="AF34" s="110"/>
      <c r="AG34" s="110"/>
      <c r="AH34" s="110"/>
      <c r="AI34" s="110"/>
      <c r="AJ34" s="113"/>
      <c r="AK34" s="114"/>
      <c r="AL34" s="114"/>
      <c r="AM34" s="109"/>
      <c r="AN34" s="115"/>
      <c r="AO34" s="115"/>
    </row>
    <row r="35" spans="1:41" s="116" customFormat="1" ht="24.75" customHeight="1">
      <c r="A35"/>
      <c r="B35" s="108"/>
      <c r="C35"/>
      <c r="D35"/>
      <c r="E35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1"/>
      <c r="AB35" s="111"/>
      <c r="AC35" s="112"/>
      <c r="AD35" s="110"/>
      <c r="AE35" s="110"/>
      <c r="AF35" s="110"/>
      <c r="AG35" s="110"/>
      <c r="AH35" s="110"/>
      <c r="AI35" s="110"/>
      <c r="AJ35" s="113"/>
      <c r="AK35" s="114"/>
      <c r="AL35" s="114"/>
      <c r="AM35" s="109"/>
      <c r="AN35" s="115"/>
      <c r="AO35" s="115"/>
    </row>
    <row r="36" spans="1:41" s="116" customFormat="1" ht="24.75" customHeight="1">
      <c r="A36"/>
      <c r="B36" s="108"/>
      <c r="C36"/>
      <c r="D36"/>
      <c r="E36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111"/>
      <c r="AC36" s="112"/>
      <c r="AD36" s="110"/>
      <c r="AE36" s="110"/>
      <c r="AF36" s="110"/>
      <c r="AG36" s="110"/>
      <c r="AH36" s="110"/>
      <c r="AI36" s="110"/>
      <c r="AJ36" s="113"/>
      <c r="AK36" s="114"/>
      <c r="AL36" s="114"/>
      <c r="AM36" s="109"/>
      <c r="AN36" s="115"/>
      <c r="AO36" s="115"/>
    </row>
    <row r="37" spans="1:41" s="116" customFormat="1" ht="24.75" customHeight="1">
      <c r="A37"/>
      <c r="B37" s="117" t="s">
        <v>76</v>
      </c>
      <c r="C37"/>
      <c r="D37"/>
      <c r="E37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111"/>
      <c r="AC37" s="112"/>
      <c r="AD37" s="110"/>
      <c r="AE37" s="110"/>
      <c r="AF37" s="110"/>
      <c r="AG37" s="110"/>
      <c r="AH37" s="110"/>
      <c r="AI37" s="110"/>
      <c r="AJ37" s="113"/>
      <c r="AK37" s="114"/>
      <c r="AL37" s="114"/>
      <c r="AM37" s="109"/>
      <c r="AN37" s="115"/>
      <c r="AO37" s="115"/>
    </row>
    <row r="38" spans="1:41" s="116" customFormat="1" ht="24.75" customHeight="1">
      <c r="A38"/>
      <c r="B38" s="108"/>
      <c r="C38"/>
      <c r="D38"/>
      <c r="E38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1"/>
      <c r="AB38" s="111"/>
      <c r="AC38" s="112"/>
      <c r="AD38" s="110"/>
      <c r="AE38" s="110"/>
      <c r="AF38" s="110"/>
      <c r="AG38" s="110"/>
      <c r="AH38" s="110"/>
      <c r="AI38" s="110"/>
      <c r="AJ38" s="113"/>
      <c r="AK38" s="114"/>
      <c r="AL38" s="114"/>
      <c r="AM38" s="109"/>
      <c r="AN38" s="115"/>
      <c r="AO38" s="115"/>
    </row>
    <row r="39" spans="1:41" s="116" customFormat="1" ht="24.75" customHeight="1">
      <c r="A39"/>
      <c r="B39" s="118"/>
      <c r="C39" t="s">
        <v>77</v>
      </c>
      <c r="D39"/>
      <c r="E39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111"/>
      <c r="AC39" s="112"/>
      <c r="AD39" s="110"/>
      <c r="AE39" s="110"/>
      <c r="AF39" s="110"/>
      <c r="AG39" s="110"/>
      <c r="AH39" s="110"/>
      <c r="AI39" s="110"/>
      <c r="AJ39" s="113"/>
      <c r="AK39" s="114"/>
      <c r="AL39" s="114"/>
      <c r="AM39" s="109"/>
      <c r="AN39" s="115"/>
      <c r="AO39" s="115"/>
    </row>
    <row r="40" spans="1:41" s="116" customFormat="1" ht="24.75" customHeight="1">
      <c r="A40"/>
      <c r="B40" s="108"/>
      <c r="C40"/>
      <c r="D40"/>
      <c r="E40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1"/>
      <c r="AB40" s="111"/>
      <c r="AC40" s="112"/>
      <c r="AD40" s="110"/>
      <c r="AE40" s="110"/>
      <c r="AF40" s="110"/>
      <c r="AG40" s="110"/>
      <c r="AH40" s="110"/>
      <c r="AI40" s="110"/>
      <c r="AJ40" s="113"/>
      <c r="AK40" s="114"/>
      <c r="AL40" s="114"/>
      <c r="AM40" s="109"/>
      <c r="AN40" s="115"/>
      <c r="AO40" s="115"/>
    </row>
    <row r="41" spans="1:41" s="116" customFormat="1" ht="24.75" customHeight="1">
      <c r="A41"/>
      <c r="B41" s="108"/>
      <c r="C41"/>
      <c r="D41"/>
      <c r="E41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111"/>
      <c r="AC41" s="112"/>
      <c r="AD41" s="110"/>
      <c r="AE41" s="110"/>
      <c r="AF41" s="110"/>
      <c r="AG41" s="110"/>
      <c r="AH41" s="110"/>
      <c r="AI41" s="110"/>
      <c r="AJ41" s="113"/>
      <c r="AK41" s="114"/>
      <c r="AL41" s="114"/>
      <c r="AM41" s="109"/>
      <c r="AN41" s="115"/>
      <c r="AO41" s="115"/>
    </row>
    <row r="42" spans="1:41" s="116" customFormat="1" ht="24.75" customHeight="1">
      <c r="A42" s="93" t="s">
        <v>78</v>
      </c>
      <c r="B42" s="119" t="s">
        <v>79</v>
      </c>
      <c r="C42" s="93" t="s">
        <v>40</v>
      </c>
      <c r="D42" s="105" t="s">
        <v>80</v>
      </c>
      <c r="E42" s="93" t="s">
        <v>81</v>
      </c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/>
      <c r="AB42" s="111"/>
      <c r="AC42" s="112"/>
      <c r="AD42" s="110"/>
      <c r="AE42" s="110"/>
      <c r="AF42" s="110"/>
      <c r="AG42" s="110"/>
      <c r="AH42" s="110"/>
      <c r="AI42" s="110"/>
      <c r="AJ42" s="113"/>
      <c r="AK42" s="114"/>
      <c r="AL42" s="114"/>
      <c r="AM42" s="109"/>
      <c r="AN42" s="115"/>
      <c r="AO42" s="115"/>
    </row>
    <row r="43" spans="1:41" s="116" customFormat="1" ht="24.75" customHeight="1">
      <c r="A43" s="93">
        <v>4</v>
      </c>
      <c r="B43" s="92" t="s">
        <v>82</v>
      </c>
      <c r="C43" s="93" t="s">
        <v>83</v>
      </c>
      <c r="D43" s="93" t="s">
        <v>84</v>
      </c>
      <c r="E43" s="120">
        <v>0.5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1"/>
      <c r="AB43" s="111"/>
      <c r="AC43" s="112"/>
      <c r="AD43" s="110"/>
      <c r="AE43" s="110"/>
      <c r="AF43" s="110"/>
      <c r="AG43" s="110"/>
      <c r="AH43" s="110"/>
      <c r="AI43" s="110"/>
      <c r="AJ43" s="113"/>
      <c r="AK43" s="114"/>
      <c r="AL43" s="114"/>
      <c r="AM43" s="109"/>
      <c r="AN43" s="115"/>
      <c r="AO43" s="115"/>
    </row>
    <row r="44" spans="1:41" s="116" customFormat="1" ht="24.75" customHeight="1">
      <c r="A44" s="93">
        <v>5</v>
      </c>
      <c r="B44" s="119" t="s">
        <v>85</v>
      </c>
      <c r="C44" s="93" t="s">
        <v>86</v>
      </c>
      <c r="D44" s="93" t="s">
        <v>84</v>
      </c>
      <c r="E44" s="120">
        <v>0.5013888888888889</v>
      </c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1"/>
      <c r="AB44" s="111"/>
      <c r="AC44" s="112"/>
      <c r="AD44" s="110"/>
      <c r="AE44" s="110"/>
      <c r="AF44" s="110"/>
      <c r="AG44" s="110"/>
      <c r="AH44" s="110"/>
      <c r="AI44" s="110"/>
      <c r="AJ44" s="113"/>
      <c r="AK44" s="114"/>
      <c r="AL44" s="114"/>
      <c r="AM44" s="109"/>
      <c r="AN44" s="115"/>
      <c r="AO44" s="115"/>
    </row>
    <row r="45" spans="1:41" s="116" customFormat="1" ht="24.75" customHeight="1">
      <c r="A45" s="93">
        <v>6</v>
      </c>
      <c r="B45" s="119" t="s">
        <v>87</v>
      </c>
      <c r="C45" s="93" t="s">
        <v>88</v>
      </c>
      <c r="D45" s="93" t="s">
        <v>84</v>
      </c>
      <c r="E45" s="120">
        <v>0.502777777777778</v>
      </c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1"/>
      <c r="AB45" s="111"/>
      <c r="AC45" s="112"/>
      <c r="AD45" s="110"/>
      <c r="AE45" s="110"/>
      <c r="AF45" s="110"/>
      <c r="AG45" s="110"/>
      <c r="AH45" s="110"/>
      <c r="AI45" s="110"/>
      <c r="AJ45" s="113"/>
      <c r="AK45" s="114"/>
      <c r="AL45" s="114"/>
      <c r="AM45" s="109"/>
      <c r="AN45" s="115"/>
      <c r="AO45" s="115"/>
    </row>
    <row r="46" spans="1:41" s="116" customFormat="1" ht="24.75" customHeight="1">
      <c r="A46" s="93">
        <v>7</v>
      </c>
      <c r="B46" s="119" t="s">
        <v>89</v>
      </c>
      <c r="C46" s="93" t="s">
        <v>90</v>
      </c>
      <c r="D46" s="93" t="s">
        <v>84</v>
      </c>
      <c r="E46" s="120">
        <v>0.504166666666667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1"/>
      <c r="AB46" s="111"/>
      <c r="AC46" s="112"/>
      <c r="AD46" s="110"/>
      <c r="AE46" s="110"/>
      <c r="AF46" s="110"/>
      <c r="AG46" s="110"/>
      <c r="AH46" s="110"/>
      <c r="AI46" s="110"/>
      <c r="AJ46" s="113"/>
      <c r="AK46" s="114"/>
      <c r="AL46" s="114"/>
      <c r="AM46" s="109"/>
      <c r="AN46" s="115"/>
      <c r="AO46" s="115"/>
    </row>
    <row r="47" spans="1:41" s="116" customFormat="1" ht="24.75" customHeight="1">
      <c r="A47" s="93">
        <v>8</v>
      </c>
      <c r="B47" s="92" t="s">
        <v>91</v>
      </c>
      <c r="C47" s="93" t="s">
        <v>92</v>
      </c>
      <c r="D47" s="93" t="s">
        <v>84</v>
      </c>
      <c r="E47" s="120">
        <v>0.505555555555556</v>
      </c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1"/>
      <c r="AB47" s="111"/>
      <c r="AC47" s="112"/>
      <c r="AD47" s="110"/>
      <c r="AE47" s="110"/>
      <c r="AF47" s="110"/>
      <c r="AG47" s="110"/>
      <c r="AH47" s="110"/>
      <c r="AI47" s="110"/>
      <c r="AJ47" s="113"/>
      <c r="AK47" s="114"/>
      <c r="AL47" s="114"/>
      <c r="AM47" s="109"/>
      <c r="AN47" s="115"/>
      <c r="AO47" s="115"/>
    </row>
    <row r="48" spans="1:41" s="116" customFormat="1" ht="24.75" customHeight="1">
      <c r="A48" s="93">
        <v>9</v>
      </c>
      <c r="B48" s="92" t="s">
        <v>93</v>
      </c>
      <c r="C48" s="93" t="s">
        <v>94</v>
      </c>
      <c r="D48" s="93" t="s">
        <v>95</v>
      </c>
      <c r="E48" s="120">
        <v>0.506944444444444</v>
      </c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1"/>
      <c r="AB48" s="111"/>
      <c r="AC48" s="112"/>
      <c r="AD48" s="110"/>
      <c r="AE48" s="110"/>
      <c r="AF48" s="110"/>
      <c r="AG48" s="110"/>
      <c r="AH48" s="110"/>
      <c r="AI48" s="110"/>
      <c r="AJ48" s="113"/>
      <c r="AK48" s="114"/>
      <c r="AL48" s="114"/>
      <c r="AM48" s="109"/>
      <c r="AN48" s="115"/>
      <c r="AO48" s="115"/>
    </row>
    <row r="49" spans="1:41" s="116" customFormat="1" ht="24.75" customHeight="1">
      <c r="A49" s="93">
        <v>10</v>
      </c>
      <c r="B49" s="119" t="s">
        <v>96</v>
      </c>
      <c r="C49" s="93" t="s">
        <v>97</v>
      </c>
      <c r="D49" s="93" t="s">
        <v>84</v>
      </c>
      <c r="E49" s="120">
        <v>0.508333333333333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1"/>
      <c r="AB49" s="111"/>
      <c r="AC49" s="112"/>
      <c r="AD49" s="110"/>
      <c r="AE49" s="110"/>
      <c r="AF49" s="110"/>
      <c r="AG49" s="110"/>
      <c r="AH49" s="110"/>
      <c r="AI49" s="110"/>
      <c r="AJ49" s="113"/>
      <c r="AK49" s="114"/>
      <c r="AL49" s="114"/>
      <c r="AM49" s="109"/>
      <c r="AN49" s="115"/>
      <c r="AO49" s="115"/>
    </row>
    <row r="50" spans="1:41" s="116" customFormat="1" ht="24.75" customHeight="1">
      <c r="A50" s="93">
        <v>11</v>
      </c>
      <c r="B50" s="119" t="s">
        <v>98</v>
      </c>
      <c r="C50" s="93" t="s">
        <v>99</v>
      </c>
      <c r="D50" s="93" t="s">
        <v>84</v>
      </c>
      <c r="E50" s="120">
        <v>0.509722222222222</v>
      </c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1"/>
      <c r="AB50" s="111"/>
      <c r="AC50" s="112"/>
      <c r="AD50" s="110"/>
      <c r="AE50" s="110"/>
      <c r="AF50" s="110"/>
      <c r="AG50" s="110"/>
      <c r="AH50" s="110"/>
      <c r="AI50" s="110"/>
      <c r="AJ50" s="113"/>
      <c r="AK50" s="114"/>
      <c r="AL50" s="114"/>
      <c r="AM50" s="109"/>
      <c r="AN50" s="115"/>
      <c r="AO50" s="115"/>
    </row>
    <row r="51" spans="1:5" ht="24.75" customHeight="1">
      <c r="A51" s="93">
        <v>12</v>
      </c>
      <c r="B51" s="119" t="s">
        <v>100</v>
      </c>
      <c r="C51" s="93" t="s">
        <v>101</v>
      </c>
      <c r="D51" s="93" t="s">
        <v>84</v>
      </c>
      <c r="E51" s="120">
        <v>0.511111111111111</v>
      </c>
    </row>
    <row r="52" spans="1:5" ht="24" customHeight="1">
      <c r="A52" s="93">
        <v>13</v>
      </c>
      <c r="B52" s="119" t="s">
        <v>102</v>
      </c>
      <c r="C52" s="93" t="s">
        <v>103</v>
      </c>
      <c r="D52" s="93" t="s">
        <v>95</v>
      </c>
      <c r="E52" s="120">
        <v>0.5125000000000001</v>
      </c>
    </row>
    <row r="53" spans="1:5" ht="25.5" customHeight="1">
      <c r="A53" s="93">
        <v>14</v>
      </c>
      <c r="B53" s="119" t="s">
        <v>104</v>
      </c>
      <c r="C53" s="93" t="s">
        <v>105</v>
      </c>
      <c r="D53" s="93" t="s">
        <v>95</v>
      </c>
      <c r="E53" s="120">
        <v>0.513888888888889</v>
      </c>
    </row>
    <row r="54" spans="1:5" ht="25.5" customHeight="1">
      <c r="A54" s="93">
        <v>15</v>
      </c>
      <c r="B54" s="119" t="s">
        <v>106</v>
      </c>
      <c r="C54" s="93" t="s">
        <v>107</v>
      </c>
      <c r="D54" s="93" t="s">
        <v>84</v>
      </c>
      <c r="E54" s="120">
        <v>0.5152777777777778</v>
      </c>
    </row>
    <row r="55" spans="1:5" ht="25.5" customHeight="1">
      <c r="A55" s="93">
        <v>17</v>
      </c>
      <c r="B55" s="119" t="s">
        <v>108</v>
      </c>
      <c r="C55" s="93" t="s">
        <v>109</v>
      </c>
      <c r="D55" s="93" t="s">
        <v>84</v>
      </c>
      <c r="E55" s="120">
        <v>0.5166666666666667</v>
      </c>
    </row>
    <row r="56" spans="1:5" ht="24.75" customHeight="1">
      <c r="A56" s="93">
        <v>22</v>
      </c>
      <c r="B56" s="119" t="s">
        <v>110</v>
      </c>
      <c r="C56" s="93" t="s">
        <v>111</v>
      </c>
      <c r="D56" s="93" t="s">
        <v>84</v>
      </c>
      <c r="E56" s="120">
        <v>0.5180555555555556</v>
      </c>
    </row>
  </sheetData>
  <printOptions/>
  <pageMargins left="0.23611111111111113" right="0.23611111111111113" top="0.7479166666666667" bottom="0.7479166666666667" header="0.5118055555555556" footer="0.5118055555555556"/>
  <pageSetup horizontalDpi="300" verticalDpi="300"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I73"/>
  <sheetViews>
    <sheetView workbookViewId="0" topLeftCell="A10">
      <selection activeCell="D23" sqref="D23"/>
    </sheetView>
  </sheetViews>
  <sheetFormatPr defaultColWidth="9.140625" defaultRowHeight="12.75"/>
  <cols>
    <col min="1" max="1" width="5.8515625" style="0" customWidth="1"/>
    <col min="3" max="3" width="33.57421875" style="108" customWidth="1"/>
    <col min="4" max="4" width="17.57421875" style="0" customWidth="1"/>
    <col min="5" max="5" width="11.57421875" style="0" customWidth="1"/>
    <col min="6" max="6" width="10.57421875" style="0" customWidth="1"/>
  </cols>
  <sheetData>
    <row r="9" ht="12">
      <c r="C9" s="117" t="s">
        <v>112</v>
      </c>
    </row>
    <row r="11" spans="3:4" ht="12">
      <c r="C11" s="118"/>
      <c r="D11" t="s">
        <v>77</v>
      </c>
    </row>
    <row r="14" spans="2:6" ht="12">
      <c r="B14" s="93" t="s">
        <v>78</v>
      </c>
      <c r="C14" s="119" t="s">
        <v>79</v>
      </c>
      <c r="D14" s="93" t="s">
        <v>40</v>
      </c>
      <c r="E14" s="105" t="s">
        <v>80</v>
      </c>
      <c r="F14" s="93" t="s">
        <v>81</v>
      </c>
    </row>
    <row r="15" spans="2:6" ht="24.75" customHeight="1">
      <c r="B15" s="93">
        <v>5</v>
      </c>
      <c r="C15" s="92" t="s">
        <v>91</v>
      </c>
      <c r="D15" s="93" t="s">
        <v>113</v>
      </c>
      <c r="E15" s="93" t="s">
        <v>95</v>
      </c>
      <c r="F15" s="120">
        <v>0.5</v>
      </c>
    </row>
    <row r="16" spans="2:6" ht="24.75" customHeight="1">
      <c r="B16" s="93">
        <v>1</v>
      </c>
      <c r="C16" s="119" t="s">
        <v>114</v>
      </c>
      <c r="D16" s="93" t="s">
        <v>115</v>
      </c>
      <c r="E16" s="93" t="s">
        <v>84</v>
      </c>
      <c r="F16" s="120">
        <v>0.5013888888888889</v>
      </c>
    </row>
    <row r="17" spans="2:6" ht="24.75" customHeight="1">
      <c r="B17" s="93">
        <v>2</v>
      </c>
      <c r="C17" s="119" t="s">
        <v>116</v>
      </c>
      <c r="D17" s="93" t="s">
        <v>117</v>
      </c>
      <c r="E17" s="93" t="s">
        <v>84</v>
      </c>
      <c r="F17" s="120">
        <v>0.502777777777778</v>
      </c>
    </row>
    <row r="18" spans="2:6" ht="24.75" customHeight="1">
      <c r="B18" s="93">
        <v>3</v>
      </c>
      <c r="C18" s="119" t="s">
        <v>118</v>
      </c>
      <c r="D18" s="93" t="s">
        <v>119</v>
      </c>
      <c r="E18" s="93" t="s">
        <v>84</v>
      </c>
      <c r="F18" s="120">
        <v>0.504166666666667</v>
      </c>
    </row>
    <row r="19" spans="2:6" ht="24.75" customHeight="1">
      <c r="B19" s="93">
        <v>4</v>
      </c>
      <c r="C19" s="119" t="s">
        <v>120</v>
      </c>
      <c r="D19" s="93" t="s">
        <v>121</v>
      </c>
      <c r="E19" s="93" t="s">
        <v>84</v>
      </c>
      <c r="F19" s="120">
        <v>0.505555555555556</v>
      </c>
    </row>
    <row r="20" spans="2:6" ht="24.75" customHeight="1">
      <c r="B20" s="93">
        <v>6</v>
      </c>
      <c r="C20" s="92" t="s">
        <v>122</v>
      </c>
      <c r="D20" s="93" t="s">
        <v>123</v>
      </c>
      <c r="E20" s="93" t="s">
        <v>84</v>
      </c>
      <c r="F20" s="120">
        <v>0.506944444444444</v>
      </c>
    </row>
    <row r="21" spans="2:6" ht="24.75" customHeight="1">
      <c r="B21" s="93">
        <v>7</v>
      </c>
      <c r="C21" s="119" t="s">
        <v>124</v>
      </c>
      <c r="D21" s="93" t="s">
        <v>119</v>
      </c>
      <c r="E21" s="93" t="s">
        <v>84</v>
      </c>
      <c r="F21" s="120">
        <v>0.508333333333333</v>
      </c>
    </row>
    <row r="22" spans="2:6" ht="24.75" customHeight="1">
      <c r="B22" s="93">
        <v>8</v>
      </c>
      <c r="C22" s="119" t="s">
        <v>125</v>
      </c>
      <c r="D22" s="93" t="s">
        <v>121</v>
      </c>
      <c r="E22" s="93" t="s">
        <v>84</v>
      </c>
      <c r="F22" s="120">
        <v>0.509722222222222</v>
      </c>
    </row>
    <row r="23" spans="2:9" ht="24.75" customHeight="1">
      <c r="B23" s="93">
        <v>9</v>
      </c>
      <c r="C23" s="119" t="s">
        <v>126</v>
      </c>
      <c r="D23" s="93" t="s">
        <v>127</v>
      </c>
      <c r="E23" s="93" t="s">
        <v>84</v>
      </c>
      <c r="F23" s="120">
        <v>0.511111111111111</v>
      </c>
      <c r="I23" s="73"/>
    </row>
    <row r="24" spans="1:6" ht="24.75" customHeight="1">
      <c r="A24" s="116"/>
      <c r="B24" s="121"/>
      <c r="C24" s="122"/>
      <c r="D24" s="121"/>
      <c r="E24" s="121"/>
      <c r="F24" s="123"/>
    </row>
    <row r="25" spans="1:6" ht="24.75" customHeight="1">
      <c r="A25" s="116"/>
      <c r="B25" s="121"/>
      <c r="C25" s="122"/>
      <c r="D25" s="121"/>
      <c r="E25" s="121"/>
      <c r="F25" s="123"/>
    </row>
    <row r="26" spans="1:6" ht="24.75" customHeight="1">
      <c r="A26" s="116"/>
      <c r="B26" s="121"/>
      <c r="C26" s="122"/>
      <c r="D26" s="121"/>
      <c r="E26" s="121"/>
      <c r="F26" s="123"/>
    </row>
    <row r="27" spans="1:6" ht="24.75" customHeight="1">
      <c r="A27" s="116"/>
      <c r="B27" s="121"/>
      <c r="C27" s="122"/>
      <c r="D27" s="121"/>
      <c r="E27" s="121"/>
      <c r="F27" s="123"/>
    </row>
    <row r="28" spans="1:6" ht="24.75" customHeight="1">
      <c r="A28" s="116"/>
      <c r="B28" s="121"/>
      <c r="C28" s="122"/>
      <c r="D28" s="121"/>
      <c r="E28" s="121"/>
      <c r="F28" s="123"/>
    </row>
    <row r="29" spans="1:6" ht="24.75" customHeight="1">
      <c r="A29" s="116"/>
      <c r="B29" s="121"/>
      <c r="C29" s="122"/>
      <c r="D29" s="121"/>
      <c r="E29" s="121"/>
      <c r="F29" s="123"/>
    </row>
    <row r="30" spans="1:6" ht="24.75" customHeight="1">
      <c r="A30" s="116"/>
      <c r="B30" s="121"/>
      <c r="C30" s="122"/>
      <c r="D30" s="121"/>
      <c r="E30" s="121"/>
      <c r="F30" s="123"/>
    </row>
    <row r="31" spans="1:6" ht="24.75" customHeight="1">
      <c r="A31" s="116"/>
      <c r="B31" s="121"/>
      <c r="C31" s="122"/>
      <c r="D31" s="121"/>
      <c r="E31" s="121"/>
      <c r="F31" s="123"/>
    </row>
    <row r="32" spans="1:6" ht="24.75" customHeight="1">
      <c r="A32" s="116"/>
      <c r="B32" s="121"/>
      <c r="C32" s="122"/>
      <c r="D32" s="121"/>
      <c r="E32" s="121"/>
      <c r="F32" s="123"/>
    </row>
    <row r="33" spans="1:6" ht="24.75" customHeight="1">
      <c r="A33" s="116"/>
      <c r="B33" s="121"/>
      <c r="C33" s="122"/>
      <c r="D33" s="121"/>
      <c r="E33" s="121"/>
      <c r="F33" s="123"/>
    </row>
    <row r="34" spans="1:6" ht="24.75" customHeight="1">
      <c r="A34" s="116"/>
      <c r="B34" s="121"/>
      <c r="C34" s="122"/>
      <c r="D34" s="121"/>
      <c r="E34" s="121"/>
      <c r="F34" s="123"/>
    </row>
    <row r="35" spans="1:6" ht="24.75" customHeight="1">
      <c r="A35" s="116"/>
      <c r="B35" s="121"/>
      <c r="C35" s="122"/>
      <c r="D35" s="121"/>
      <c r="E35" s="121"/>
      <c r="F35" s="123"/>
    </row>
    <row r="36" spans="1:6" ht="24.75" customHeight="1">
      <c r="A36" s="116"/>
      <c r="B36" s="121"/>
      <c r="C36" s="122"/>
      <c r="D36" s="121"/>
      <c r="E36" s="121"/>
      <c r="F36" s="123"/>
    </row>
    <row r="37" spans="1:6" ht="24.75" customHeight="1">
      <c r="A37" s="116"/>
      <c r="B37" s="121"/>
      <c r="C37" s="122"/>
      <c r="D37" s="121"/>
      <c r="E37" s="121"/>
      <c r="F37" s="123"/>
    </row>
    <row r="38" spans="1:6" ht="24.75" customHeight="1">
      <c r="A38" s="116"/>
      <c r="B38" s="121"/>
      <c r="C38" s="122"/>
      <c r="D38" s="121"/>
      <c r="E38" s="121"/>
      <c r="F38" s="123"/>
    </row>
    <row r="39" spans="1:6" ht="24.75" customHeight="1">
      <c r="A39" s="116"/>
      <c r="B39" s="121"/>
      <c r="C39" s="122"/>
      <c r="D39" s="121"/>
      <c r="E39" s="121"/>
      <c r="F39" s="123"/>
    </row>
    <row r="40" spans="1:6" ht="24.75" customHeight="1">
      <c r="A40" s="116"/>
      <c r="B40" s="121"/>
      <c r="C40" s="122"/>
      <c r="D40" s="121"/>
      <c r="E40" s="121"/>
      <c r="F40" s="123"/>
    </row>
    <row r="41" spans="1:6" ht="24.75" customHeight="1">
      <c r="A41" s="116"/>
      <c r="B41" s="121"/>
      <c r="C41" s="122"/>
      <c r="D41" s="121"/>
      <c r="E41" s="121"/>
      <c r="F41" s="123"/>
    </row>
    <row r="42" spans="1:6" ht="24.75" customHeight="1">
      <c r="A42" s="116"/>
      <c r="B42" s="121"/>
      <c r="C42" s="122"/>
      <c r="D42" s="121"/>
      <c r="E42" s="121"/>
      <c r="F42" s="123"/>
    </row>
    <row r="43" spans="1:6" ht="24.75" customHeight="1">
      <c r="A43" s="116"/>
      <c r="B43" s="121"/>
      <c r="C43" s="122"/>
      <c r="D43" s="121"/>
      <c r="E43" s="121"/>
      <c r="F43" s="123"/>
    </row>
    <row r="44" spans="1:6" ht="24.75" customHeight="1">
      <c r="A44" s="116"/>
      <c r="B44" s="121"/>
      <c r="C44" s="122"/>
      <c r="D44" s="121"/>
      <c r="E44" s="121"/>
      <c r="F44" s="123"/>
    </row>
    <row r="45" spans="1:6" ht="12">
      <c r="A45" s="116"/>
      <c r="B45" s="116"/>
      <c r="C45" s="124"/>
      <c r="D45" s="116"/>
      <c r="E45" s="116"/>
      <c r="F45" s="116"/>
    </row>
    <row r="46" spans="1:6" ht="12">
      <c r="A46" s="116"/>
      <c r="B46" s="116"/>
      <c r="C46" s="124"/>
      <c r="D46" s="116"/>
      <c r="E46" s="116"/>
      <c r="F46" s="116"/>
    </row>
    <row r="47" spans="1:6" ht="12">
      <c r="A47" s="116"/>
      <c r="B47" s="116"/>
      <c r="C47" s="124"/>
      <c r="D47" s="116"/>
      <c r="E47" s="116"/>
      <c r="F47" s="116"/>
    </row>
    <row r="48" spans="1:6" ht="12">
      <c r="A48" s="116"/>
      <c r="B48" s="116"/>
      <c r="C48" s="124"/>
      <c r="D48" s="116"/>
      <c r="E48" s="116"/>
      <c r="F48" s="116"/>
    </row>
    <row r="49" spans="1:6" ht="12">
      <c r="A49" s="116"/>
      <c r="B49" s="116"/>
      <c r="C49" s="124"/>
      <c r="D49" s="116"/>
      <c r="E49" s="116"/>
      <c r="F49" s="116"/>
    </row>
    <row r="50" spans="1:6" ht="12">
      <c r="A50" s="116"/>
      <c r="B50" s="116"/>
      <c r="C50" s="124"/>
      <c r="D50" s="116"/>
      <c r="E50" s="116"/>
      <c r="F50" s="116"/>
    </row>
    <row r="51" spans="1:6" ht="12">
      <c r="A51" s="116"/>
      <c r="B51" s="116"/>
      <c r="C51" s="124"/>
      <c r="D51" s="116"/>
      <c r="E51" s="116"/>
      <c r="F51" s="116"/>
    </row>
    <row r="52" spans="1:6" ht="12">
      <c r="A52" s="116"/>
      <c r="B52" s="116"/>
      <c r="C52" s="124"/>
      <c r="D52" s="116"/>
      <c r="E52" s="116"/>
      <c r="F52" s="116"/>
    </row>
    <row r="53" spans="1:6" ht="12">
      <c r="A53" s="116"/>
      <c r="B53" s="116"/>
      <c r="C53" s="124"/>
      <c r="D53" s="116"/>
      <c r="E53" s="116"/>
      <c r="F53" s="116"/>
    </row>
    <row r="54" spans="1:6" ht="12">
      <c r="A54" s="116"/>
      <c r="B54" s="116"/>
      <c r="C54" s="124"/>
      <c r="D54" s="116"/>
      <c r="E54" s="116"/>
      <c r="F54" s="116"/>
    </row>
    <row r="55" spans="1:6" ht="12">
      <c r="A55" s="116"/>
      <c r="B55" s="116"/>
      <c r="C55" s="124"/>
      <c r="D55" s="116"/>
      <c r="E55" s="116"/>
      <c r="F55" s="116"/>
    </row>
    <row r="56" spans="1:6" ht="12">
      <c r="A56" s="116"/>
      <c r="B56" s="116"/>
      <c r="C56" s="124"/>
      <c r="D56" s="116"/>
      <c r="E56" s="116"/>
      <c r="F56" s="116"/>
    </row>
    <row r="57" spans="1:6" ht="12">
      <c r="A57" s="116"/>
      <c r="B57" s="116"/>
      <c r="C57" s="124"/>
      <c r="D57" s="116"/>
      <c r="E57" s="116"/>
      <c r="F57" s="116"/>
    </row>
    <row r="58" spans="1:6" ht="12">
      <c r="A58" s="116"/>
      <c r="B58" s="116"/>
      <c r="C58" s="124"/>
      <c r="D58" s="116"/>
      <c r="E58" s="116"/>
      <c r="F58" s="116"/>
    </row>
    <row r="59" spans="1:6" ht="12">
      <c r="A59" s="116"/>
      <c r="B59" s="116"/>
      <c r="C59" s="124"/>
      <c r="D59" s="116"/>
      <c r="E59" s="116"/>
      <c r="F59" s="116"/>
    </row>
    <row r="60" spans="1:6" ht="12">
      <c r="A60" s="116"/>
      <c r="B60" s="116"/>
      <c r="C60" s="124"/>
      <c r="D60" s="116"/>
      <c r="E60" s="116"/>
      <c r="F60" s="116"/>
    </row>
    <row r="61" spans="1:6" ht="12">
      <c r="A61" s="116"/>
      <c r="B61" s="116"/>
      <c r="C61" s="124"/>
      <c r="D61" s="116"/>
      <c r="E61" s="116"/>
      <c r="F61" s="116"/>
    </row>
    <row r="62" spans="1:6" ht="12">
      <c r="A62" s="116"/>
      <c r="B62" s="116"/>
      <c r="C62" s="124"/>
      <c r="D62" s="116"/>
      <c r="E62" s="116"/>
      <c r="F62" s="116"/>
    </row>
    <row r="63" spans="1:6" ht="12">
      <c r="A63" s="116"/>
      <c r="B63" s="116"/>
      <c r="C63" s="124"/>
      <c r="D63" s="116"/>
      <c r="E63" s="116"/>
      <c r="F63" s="116"/>
    </row>
    <row r="64" spans="1:6" ht="12">
      <c r="A64" s="116"/>
      <c r="B64" s="116"/>
      <c r="C64" s="124"/>
      <c r="D64" s="116"/>
      <c r="E64" s="116"/>
      <c r="F64" s="116"/>
    </row>
    <row r="65" spans="1:6" ht="12">
      <c r="A65" s="116"/>
      <c r="B65" s="116"/>
      <c r="C65" s="124"/>
      <c r="D65" s="116"/>
      <c r="E65" s="116"/>
      <c r="F65" s="116"/>
    </row>
    <row r="66" spans="1:6" ht="12">
      <c r="A66" s="116"/>
      <c r="B66" s="116"/>
      <c r="C66" s="124"/>
      <c r="D66" s="116"/>
      <c r="E66" s="116"/>
      <c r="F66" s="116"/>
    </row>
    <row r="67" spans="1:6" ht="12">
      <c r="A67" s="116"/>
      <c r="B67" s="116"/>
      <c r="C67" s="124"/>
      <c r="D67" s="116"/>
      <c r="E67" s="116"/>
      <c r="F67" s="116"/>
    </row>
    <row r="68" spans="1:6" ht="12">
      <c r="A68" s="116"/>
      <c r="B68" s="116"/>
      <c r="C68" s="124"/>
      <c r="D68" s="116"/>
      <c r="E68" s="116"/>
      <c r="F68" s="116"/>
    </row>
    <row r="69" spans="1:6" ht="12">
      <c r="A69" s="116"/>
      <c r="B69" s="116"/>
      <c r="C69" s="124"/>
      <c r="D69" s="116"/>
      <c r="E69" s="116"/>
      <c r="F69" s="116"/>
    </row>
    <row r="70" spans="1:6" ht="12">
      <c r="A70" s="116"/>
      <c r="B70" s="116"/>
      <c r="C70" s="124"/>
      <c r="D70" s="116"/>
      <c r="E70" s="116"/>
      <c r="F70" s="116"/>
    </row>
    <row r="71" spans="1:6" ht="12">
      <c r="A71" s="116"/>
      <c r="B71" s="116"/>
      <c r="C71" s="124"/>
      <c r="D71" s="116"/>
      <c r="E71" s="116"/>
      <c r="F71" s="116"/>
    </row>
    <row r="72" spans="1:6" ht="12">
      <c r="A72" s="116"/>
      <c r="B72" s="116"/>
      <c r="C72" s="124"/>
      <c r="D72" s="116"/>
      <c r="E72" s="116"/>
      <c r="F72" s="116"/>
    </row>
    <row r="73" spans="1:6" ht="12">
      <c r="A73" s="116"/>
      <c r="B73" s="116"/>
      <c r="C73" s="124"/>
      <c r="D73" s="116"/>
      <c r="E73" s="116"/>
      <c r="F73" s="116"/>
    </row>
  </sheetData>
  <printOptions/>
  <pageMargins left="0.7083333333333334" right="0.7083333333333334" top="0.7479166666666667" bottom="0.7479166666666667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Krastins</dc:creator>
  <cp:keywords/>
  <dc:description/>
  <cp:lastModifiedBy>irena</cp:lastModifiedBy>
  <cp:lastPrinted>2014-06-28T13:32:20Z</cp:lastPrinted>
  <dcterms:created xsi:type="dcterms:W3CDTF">2003-01-30T14:42:16Z</dcterms:created>
  <dcterms:modified xsi:type="dcterms:W3CDTF">2014-06-29T08:06:58Z</dcterms:modified>
  <cp:category/>
  <cp:version/>
  <cp:contentType/>
  <cp:contentStatus/>
</cp:coreProperties>
</file>